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5" yWindow="90" windowWidth="15465" windowHeight="11160"/>
  </bookViews>
  <sheets>
    <sheet name="Sheet1" sheetId="5" r:id="rId1"/>
    <sheet name="Sheet2" sheetId="6" r:id="rId2"/>
    <sheet name="Sheet3" sheetId="7" r:id="rId3"/>
  </sheets>
  <calcPr calcId="145621"/>
</workbook>
</file>

<file path=xl/calcChain.xml><?xml version="1.0" encoding="utf-8"?>
<calcChain xmlns="http://schemas.openxmlformats.org/spreadsheetml/2006/main">
  <c r="M13" i="6" l="1"/>
  <c r="M12" i="6"/>
  <c r="B13" i="5"/>
  <c r="B12" i="5" s="1"/>
  <c r="C44" i="5" l="1"/>
  <c r="D44" i="5"/>
  <c r="E44" i="5"/>
  <c r="F44" i="5"/>
  <c r="G44" i="5"/>
  <c r="H44" i="5"/>
  <c r="I44" i="5"/>
  <c r="J44" i="5"/>
  <c r="K44" i="5"/>
  <c r="L44" i="5"/>
  <c r="M44" i="5"/>
  <c r="N44" i="5"/>
  <c r="O44" i="5"/>
  <c r="P44" i="5"/>
  <c r="B44" i="5"/>
  <c r="F9" i="5"/>
  <c r="F10" i="5" s="1"/>
  <c r="J9" i="5" s="1"/>
  <c r="G27" i="5"/>
  <c r="G28" i="5"/>
  <c r="G29" i="5"/>
  <c r="G30" i="5"/>
  <c r="G31" i="5"/>
  <c r="G32" i="5"/>
  <c r="G33" i="5"/>
  <c r="C31" i="5"/>
  <c r="Q12" i="5"/>
  <c r="M9" i="5" l="1"/>
  <c r="I31" i="5"/>
  <c r="E32" i="5"/>
  <c r="E28" i="5"/>
  <c r="I27" i="5"/>
  <c r="E31" i="5"/>
  <c r="I28" i="5"/>
  <c r="I32" i="5"/>
  <c r="E27" i="5"/>
  <c r="E30" i="5"/>
  <c r="I29" i="5"/>
  <c r="I33" i="5"/>
  <c r="E33" i="5"/>
  <c r="E29" i="5"/>
  <c r="I30" i="5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4" i="6"/>
  <c r="M10" i="5" l="1"/>
  <c r="Q13" i="5"/>
  <c r="B52" i="5"/>
  <c r="B51" i="5"/>
  <c r="B50" i="5"/>
  <c r="B49" i="5"/>
  <c r="C53" i="5"/>
  <c r="D53" i="5"/>
  <c r="E53" i="5"/>
  <c r="F53" i="5"/>
  <c r="G53" i="5"/>
  <c r="H53" i="5"/>
  <c r="I53" i="5"/>
  <c r="J53" i="5"/>
  <c r="K53" i="5"/>
  <c r="L53" i="5"/>
  <c r="M53" i="5"/>
  <c r="N53" i="5"/>
  <c r="O53" i="5"/>
  <c r="P53" i="5"/>
  <c r="G26" i="5"/>
  <c r="C27" i="5"/>
  <c r="C28" i="5"/>
  <c r="C29" i="5"/>
  <c r="C30" i="5"/>
  <c r="C32" i="5"/>
  <c r="C33" i="5"/>
  <c r="C26" i="5"/>
  <c r="M32" i="5"/>
  <c r="I36" i="5" s="1"/>
  <c r="M33" i="5"/>
  <c r="M31" i="5"/>
  <c r="D46" i="5" s="1"/>
  <c r="M30" i="5"/>
  <c r="D45" i="5" s="1"/>
  <c r="M29" i="5"/>
  <c r="M28" i="5"/>
  <c r="M27" i="5"/>
  <c r="B53" i="5"/>
  <c r="E35" i="5" l="1"/>
  <c r="I35" i="5"/>
  <c r="E36" i="5"/>
  <c r="I26" i="5"/>
  <c r="E26" i="5"/>
  <c r="J45" i="5"/>
  <c r="N45" i="5"/>
  <c r="C45" i="5"/>
  <c r="I45" i="5"/>
  <c r="O45" i="5"/>
  <c r="F45" i="5"/>
  <c r="K45" i="5"/>
  <c r="E45" i="5"/>
  <c r="M45" i="5"/>
  <c r="G45" i="5"/>
  <c r="M46" i="5"/>
  <c r="I46" i="5"/>
  <c r="E46" i="5"/>
  <c r="O46" i="5"/>
  <c r="K46" i="5"/>
  <c r="G46" i="5"/>
  <c r="C46" i="5"/>
  <c r="N46" i="5"/>
  <c r="J46" i="5"/>
  <c r="F46" i="5"/>
  <c r="P45" i="5"/>
  <c r="L45" i="5"/>
  <c r="H45" i="5"/>
  <c r="P46" i="5"/>
  <c r="L46" i="5"/>
  <c r="H46" i="5"/>
  <c r="B46" i="5"/>
  <c r="B45" i="5"/>
  <c r="L48" i="5" l="1"/>
  <c r="C48" i="5"/>
  <c r="E48" i="5"/>
  <c r="D48" i="5"/>
  <c r="P48" i="5"/>
  <c r="F48" i="5"/>
  <c r="G48" i="5"/>
  <c r="I48" i="5"/>
  <c r="B48" i="5"/>
  <c r="J48" i="5"/>
  <c r="K48" i="5"/>
  <c r="M48" i="5"/>
  <c r="H48" i="5"/>
  <c r="N48" i="5"/>
  <c r="O48" i="5"/>
  <c r="K47" i="5"/>
  <c r="P47" i="5" l="1"/>
  <c r="J47" i="5"/>
  <c r="D47" i="5"/>
  <c r="M47" i="5"/>
  <c r="F47" i="5"/>
  <c r="G47" i="5"/>
  <c r="H47" i="5"/>
  <c r="O47" i="5"/>
  <c r="L47" i="5"/>
  <c r="C50" i="5"/>
  <c r="C52" i="5" s="1"/>
  <c r="I47" i="5"/>
  <c r="N47" i="5"/>
  <c r="B47" i="5"/>
  <c r="C47" i="5"/>
  <c r="C49" i="5" s="1"/>
  <c r="C51" i="5" s="1"/>
  <c r="E47" i="5"/>
  <c r="D49" i="5" l="1"/>
  <c r="D51" i="5" s="1"/>
  <c r="D50" i="5"/>
  <c r="D52" i="5" s="1"/>
  <c r="E50" i="5" l="1"/>
  <c r="E52" i="5" s="1"/>
  <c r="E49" i="5"/>
  <c r="E51" i="5" s="1"/>
  <c r="F50" i="5" l="1"/>
  <c r="F52" i="5" s="1"/>
  <c r="F49" i="5"/>
  <c r="F51" i="5" s="1"/>
  <c r="G50" i="5" l="1"/>
  <c r="G52" i="5" s="1"/>
  <c r="G49" i="5"/>
  <c r="G51" i="5" s="1"/>
  <c r="H50" i="5" l="1"/>
  <c r="H52" i="5" s="1"/>
  <c r="H49" i="5"/>
  <c r="H51" i="5" s="1"/>
  <c r="I50" i="5" l="1"/>
  <c r="I52" i="5" s="1"/>
  <c r="I49" i="5"/>
  <c r="I51" i="5" s="1"/>
  <c r="J50" i="5" l="1"/>
  <c r="J52" i="5" s="1"/>
  <c r="J49" i="5"/>
  <c r="J51" i="5" s="1"/>
  <c r="K50" i="5" l="1"/>
  <c r="K52" i="5" s="1"/>
  <c r="K49" i="5"/>
  <c r="K51" i="5" s="1"/>
  <c r="L50" i="5" l="1"/>
  <c r="L52" i="5" s="1"/>
  <c r="L49" i="5"/>
  <c r="L51" i="5" s="1"/>
  <c r="M50" i="5" l="1"/>
  <c r="M52" i="5" s="1"/>
  <c r="M49" i="5"/>
  <c r="M51" i="5" s="1"/>
  <c r="N50" i="5" l="1"/>
  <c r="N52" i="5" s="1"/>
  <c r="N49" i="5"/>
  <c r="N51" i="5" s="1"/>
  <c r="O50" i="5" l="1"/>
  <c r="O52" i="5" s="1"/>
  <c r="O49" i="5"/>
  <c r="O51" i="5" s="1"/>
  <c r="P50" i="5" l="1"/>
  <c r="P52" i="5" s="1"/>
  <c r="P49" i="5"/>
  <c r="P51" i="5" s="1"/>
</calcChain>
</file>

<file path=xl/comments1.xml><?xml version="1.0" encoding="utf-8"?>
<comments xmlns="http://schemas.openxmlformats.org/spreadsheetml/2006/main">
  <authors>
    <author>Symon Brushe</author>
  </authors>
  <commentList>
    <comment ref="J8" authorId="0">
      <text>
        <r>
          <rPr>
            <b/>
            <sz val="8"/>
            <color indexed="81"/>
            <rFont val="Tahoma"/>
            <charset val="1"/>
          </rPr>
          <t>Symon:</t>
        </r>
        <r>
          <rPr>
            <sz val="8"/>
            <color indexed="81"/>
            <rFont val="Tahoma"/>
            <charset val="1"/>
          </rPr>
          <t xml:space="preserve">
This value can be worked out by measuring the power in and out of the regulator.  If this information is not available 90% charging efficiency is assumed.</t>
        </r>
      </text>
    </comment>
    <comment ref="F9" authorId="0">
      <text>
        <r>
          <rPr>
            <b/>
            <sz val="8"/>
            <color indexed="81"/>
            <rFont val="Tahoma"/>
            <charset val="1"/>
          </rPr>
          <t>Symon:</t>
        </r>
        <r>
          <rPr>
            <sz val="8"/>
            <color indexed="81"/>
            <rFont val="Tahoma"/>
            <charset val="1"/>
          </rPr>
          <t xml:space="preserve">
This value takes into account the return path, so shows the total voltage drop across the cable</t>
        </r>
      </text>
    </comment>
    <comment ref="J9" authorId="0">
      <text>
        <r>
          <rPr>
            <b/>
            <sz val="8"/>
            <color indexed="81"/>
            <rFont val="Tahoma"/>
            <family val="2"/>
          </rPr>
          <t>Symon:</t>
        </r>
        <r>
          <rPr>
            <sz val="8"/>
            <color indexed="81"/>
            <rFont val="Tahoma"/>
            <family val="2"/>
          </rPr>
          <t xml:space="preserve">
Due to the large variances in charging algorithms, this value is assuming that the charger is always in bulk charging mode. </t>
        </r>
      </text>
    </comment>
    <comment ref="M9" authorId="0">
      <text>
        <r>
          <rPr>
            <b/>
            <sz val="8"/>
            <color indexed="81"/>
            <rFont val="Tahoma"/>
            <charset val="1"/>
          </rPr>
          <t xml:space="preserve">Symon:
</t>
        </r>
        <r>
          <rPr>
            <sz val="8"/>
            <color indexed="81"/>
            <rFont val="Tahoma"/>
            <family val="2"/>
          </rPr>
          <t>This value takes into account the return path, so shows the total voltage drop across the cable</t>
        </r>
      </text>
    </comment>
    <comment ref="B12" authorId="0">
      <text>
        <r>
          <rPr>
            <b/>
            <sz val="8"/>
            <color indexed="81"/>
            <rFont val="Tahoma"/>
            <family val="2"/>
          </rPr>
          <t>Symon:</t>
        </r>
        <r>
          <rPr>
            <sz val="8"/>
            <color indexed="81"/>
            <rFont val="Tahoma"/>
            <family val="2"/>
          </rPr>
          <t xml:space="preserve">
This value is a bit of a fudge, not a lot of science behind it!!</t>
        </r>
      </text>
    </comment>
  </commentList>
</comments>
</file>

<file path=xl/sharedStrings.xml><?xml version="1.0" encoding="utf-8"?>
<sst xmlns="http://schemas.openxmlformats.org/spreadsheetml/2006/main" count="225" uniqueCount="176">
  <si>
    <t>Fridge</t>
  </si>
  <si>
    <t>TV</t>
  </si>
  <si>
    <t>Day</t>
  </si>
  <si>
    <t>Night</t>
  </si>
  <si>
    <t>Load Data</t>
  </si>
  <si>
    <t>Lighting</t>
  </si>
  <si>
    <t>Inverter</t>
  </si>
  <si>
    <t>Current</t>
  </si>
  <si>
    <t>Hours</t>
  </si>
  <si>
    <t>Ah</t>
  </si>
  <si>
    <t>Min Soc</t>
  </si>
  <si>
    <t>Location</t>
  </si>
  <si>
    <t>Longitude</t>
  </si>
  <si>
    <t>Latitude</t>
  </si>
  <si>
    <t>Angle</t>
  </si>
  <si>
    <t>12°25'S</t>
  </si>
  <si>
    <t>130°52'E</t>
  </si>
  <si>
    <t>20°</t>
  </si>
  <si>
    <t>16°54'S</t>
  </si>
  <si>
    <t>145°48'E</t>
  </si>
  <si>
    <t>18°14'S</t>
  </si>
  <si>
    <t>127°40'E</t>
  </si>
  <si>
    <t>25°</t>
  </si>
  <si>
    <t>19°18'S</t>
  </si>
  <si>
    <t>146°48'E</t>
  </si>
  <si>
    <t>19°36'S</t>
  </si>
  <si>
    <t>134°06'E</t>
  </si>
  <si>
    <t>20°23'S</t>
  </si>
  <si>
    <t>118°37'E</t>
  </si>
  <si>
    <t>23°23'S</t>
  </si>
  <si>
    <t>150°29'E</t>
  </si>
  <si>
    <t>30°</t>
  </si>
  <si>
    <t>23°26'S</t>
  </si>
  <si>
    <t>144°16'E</t>
  </si>
  <si>
    <t>23°49'S</t>
  </si>
  <si>
    <t>133°54'E</t>
  </si>
  <si>
    <t>27°25'S</t>
  </si>
  <si>
    <t>153°05'E</t>
  </si>
  <si>
    <t>27°34'S</t>
  </si>
  <si>
    <t>135°25'E</t>
  </si>
  <si>
    <t>28°48'S</t>
  </si>
  <si>
    <t>114°47'E</t>
  </si>
  <si>
    <t>30°47'S</t>
  </si>
  <si>
    <t>121°30'E</t>
  </si>
  <si>
    <t>30°50'S</t>
  </si>
  <si>
    <t>128°07'E</t>
  </si>
  <si>
    <t>31°56'S</t>
  </si>
  <si>
    <t>115°58'E</t>
  </si>
  <si>
    <t>32°48'S</t>
  </si>
  <si>
    <t>151°50'E</t>
  </si>
  <si>
    <t>35°</t>
  </si>
  <si>
    <t>33°56'S</t>
  </si>
  <si>
    <t>151°10'E</t>
  </si>
  <si>
    <t>34°15'S</t>
  </si>
  <si>
    <t>142°05'E</t>
  </si>
  <si>
    <t>34°57'S</t>
  </si>
  <si>
    <t>117°48'E</t>
  </si>
  <si>
    <t>34°58'S</t>
  </si>
  <si>
    <t>138°32'E</t>
  </si>
  <si>
    <t>35°15'S</t>
  </si>
  <si>
    <t>147°28'E</t>
  </si>
  <si>
    <t>35°19'S</t>
  </si>
  <si>
    <t>149°12'E</t>
  </si>
  <si>
    <t>37°45'S</t>
  </si>
  <si>
    <t>140°47'E</t>
  </si>
  <si>
    <t>37°50'S</t>
  </si>
  <si>
    <t>144°58'E</t>
  </si>
  <si>
    <t>37°53'S</t>
  </si>
  <si>
    <t>144°45'E</t>
  </si>
  <si>
    <t>38°06'S</t>
  </si>
  <si>
    <t>147°06'E</t>
  </si>
  <si>
    <t>41°36'S</t>
  </si>
  <si>
    <t>147°12'E</t>
  </si>
  <si>
    <t>40°</t>
  </si>
  <si>
    <t>42°50'S</t>
  </si>
  <si>
    <t>147°30'E</t>
  </si>
  <si>
    <t>Winter</t>
  </si>
  <si>
    <t>Summer</t>
  </si>
  <si>
    <t>Darwin NT</t>
  </si>
  <si>
    <t>Cairns Qld</t>
  </si>
  <si>
    <t>Hall Creek WA</t>
  </si>
  <si>
    <t>Townsville Qld</t>
  </si>
  <si>
    <t>Tennant Creek NT</t>
  </si>
  <si>
    <t>Port Hedland WA</t>
  </si>
  <si>
    <t>Rockhampton Qld</t>
  </si>
  <si>
    <t>Longreach Qld</t>
  </si>
  <si>
    <t>Alice Springs NT</t>
  </si>
  <si>
    <t>Brisbane Qld</t>
  </si>
  <si>
    <t>Geraldton WA</t>
  </si>
  <si>
    <t>Kalgoorlie WA</t>
  </si>
  <si>
    <t>Forrest WA</t>
  </si>
  <si>
    <t>Perth WA</t>
  </si>
  <si>
    <t>Williamtown NSW</t>
  </si>
  <si>
    <t>Sydney NSW</t>
  </si>
  <si>
    <t>Mildura Vic</t>
  </si>
  <si>
    <t>Albany WA</t>
  </si>
  <si>
    <t>Adelaide SA</t>
  </si>
  <si>
    <t>Wagga Wagga NSW</t>
  </si>
  <si>
    <t>Canberra ACT</t>
  </si>
  <si>
    <t>Mt Gambier SA</t>
  </si>
  <si>
    <t>Melbourne Vic</t>
  </si>
  <si>
    <t>Laverton Vic</t>
  </si>
  <si>
    <t>East Sale Vic</t>
  </si>
  <si>
    <t>Launceston Tas</t>
  </si>
  <si>
    <t>Hobart Tas</t>
  </si>
  <si>
    <t>Location Data</t>
  </si>
  <si>
    <t>Enter Locaton</t>
  </si>
  <si>
    <t>Optimum Panel Angle</t>
  </si>
  <si>
    <t>Summer Sun Hours</t>
  </si>
  <si>
    <t>Winter Sun Hours</t>
  </si>
  <si>
    <t>Sun hours (Summer)</t>
  </si>
  <si>
    <t>Sun hours (Winter)</t>
  </si>
  <si>
    <t>Ah Drawdown (Summer)</t>
  </si>
  <si>
    <t>Ah Drawdown (Winter)</t>
  </si>
  <si>
    <t>Oodnadatta SA</t>
  </si>
  <si>
    <t>Mean Temp Summer</t>
  </si>
  <si>
    <t>Mean Temp Winter</t>
  </si>
  <si>
    <t>Watts</t>
  </si>
  <si>
    <t>Summer Frige Duty</t>
  </si>
  <si>
    <t>Winter Fridge Duty</t>
  </si>
  <si>
    <t>Total drawdown (Winter)</t>
  </si>
  <si>
    <t>Total drawdown (Summer)</t>
  </si>
  <si>
    <t>Charging Efficiency (%)</t>
  </si>
  <si>
    <t>SoC (Summer)</t>
  </si>
  <si>
    <t>SoC (Winter)</t>
  </si>
  <si>
    <t>Total Ah (Summer)</t>
  </si>
  <si>
    <t>Total Ah (Winter)</t>
  </si>
  <si>
    <t>Day Number</t>
  </si>
  <si>
    <t>Other</t>
  </si>
  <si>
    <t>Peukert Number</t>
  </si>
  <si>
    <t>Peukert Number Calculator</t>
  </si>
  <si>
    <t>Rating 1</t>
  </si>
  <si>
    <t>Capacity 1</t>
  </si>
  <si>
    <t>Rating 2</t>
  </si>
  <si>
    <t>Capacity 2</t>
  </si>
  <si>
    <t>Cable Length</t>
  </si>
  <si>
    <t>Cable Size</t>
  </si>
  <si>
    <t>m</t>
  </si>
  <si>
    <r>
      <t>mm</t>
    </r>
    <r>
      <rPr>
        <vertAlign val="superscript"/>
        <sz val="8"/>
        <rFont val="Arial"/>
        <family val="2"/>
      </rPr>
      <t>2</t>
    </r>
  </si>
  <si>
    <t>Regulator Type</t>
  </si>
  <si>
    <t>%</t>
  </si>
  <si>
    <t>Regulator Efficiency</t>
  </si>
  <si>
    <t>Solar Panel Size</t>
  </si>
  <si>
    <t>Output Efficiency</t>
  </si>
  <si>
    <t>Battery Capacity</t>
  </si>
  <si>
    <t>Initial State of Charge</t>
  </si>
  <si>
    <t>Minimum Allowable SoC</t>
  </si>
  <si>
    <t>Solar Panel Current</t>
  </si>
  <si>
    <t>Linear</t>
  </si>
  <si>
    <t>PWM</t>
  </si>
  <si>
    <t>MPPT</t>
  </si>
  <si>
    <t>Discharge Rate (C rating)</t>
  </si>
  <si>
    <t>Flooded Wet Cell</t>
  </si>
  <si>
    <t>Absorbed Glass Mat (AGM)</t>
  </si>
  <si>
    <t>Gel Cell</t>
  </si>
  <si>
    <t>This information comes from the battery datasheet</t>
  </si>
  <si>
    <t>Battery Type</t>
  </si>
  <si>
    <t>Leave blank if battery ratings (to the left) are known.</t>
  </si>
  <si>
    <t>Only use if the datasheet values are unavailable.</t>
  </si>
  <si>
    <t>If unknown, use 20</t>
  </si>
  <si>
    <t>Volts</t>
  </si>
  <si>
    <t>Maximum Output Current</t>
  </si>
  <si>
    <t>Amps</t>
  </si>
  <si>
    <t>Voltage Drop</t>
  </si>
  <si>
    <t>Votage Drop</t>
  </si>
  <si>
    <t>Charger Size</t>
  </si>
  <si>
    <t>Duration of Charging</t>
  </si>
  <si>
    <t>Charger Contribution</t>
  </si>
  <si>
    <t>Battery State of Charge Table (Rested)</t>
  </si>
  <si>
    <t>Short Circuit Current (Isc)</t>
  </si>
  <si>
    <t>Open circuit voltage (Voc)</t>
  </si>
  <si>
    <t>Vmp</t>
  </si>
  <si>
    <t>Imp</t>
  </si>
  <si>
    <t>Peak Current* (Imp)</t>
  </si>
  <si>
    <t>Peak Voltage* (Vmp)</t>
  </si>
  <si>
    <t>*Note - if peak current and voltage data is unavailable, leave these blank and calculated values will be used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</si>
</sst>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8"/>
      <name val="Arial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Fill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Fill="1" applyBorder="1" applyAlignment="1">
      <alignment horizontal="left"/>
    </xf>
    <xf numFmtId="0" fontId="0" fillId="0" borderId="0" xfId="0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5" xfId="0" applyFont="1" applyBorder="1"/>
    <xf numFmtId="0" fontId="0" fillId="0" borderId="5" xfId="0" applyFill="1" applyBorder="1"/>
    <xf numFmtId="0" fontId="0" fillId="0" borderId="0" xfId="0" applyFill="1" applyBorder="1"/>
    <xf numFmtId="0" fontId="0" fillId="2" borderId="1" xfId="0" applyFill="1" applyBorder="1" applyAlignment="1">
      <alignment horizontal="center"/>
    </xf>
    <xf numFmtId="0" fontId="2" fillId="0" borderId="5" xfId="0" applyFont="1" applyBorder="1"/>
    <xf numFmtId="0" fontId="0" fillId="2" borderId="10" xfId="0" applyFill="1" applyBorder="1" applyAlignment="1">
      <alignment horizontal="center"/>
    </xf>
    <xf numFmtId="0" fontId="1" fillId="0" borderId="5" xfId="0" applyFont="1" applyFill="1" applyBorder="1"/>
    <xf numFmtId="0" fontId="0" fillId="0" borderId="8" xfId="0" applyBorder="1" applyAlignment="1">
      <alignment horizontal="center"/>
    </xf>
    <xf numFmtId="0" fontId="1" fillId="0" borderId="0" xfId="0" applyFont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5" xfId="0" applyFont="1" applyBorder="1" applyAlignment="1">
      <alignment horizontal="right"/>
    </xf>
    <xf numFmtId="0" fontId="1" fillId="0" borderId="0" xfId="0" applyFont="1" applyFill="1" applyBorder="1"/>
    <xf numFmtId="0" fontId="0" fillId="2" borderId="0" xfId="0" applyFill="1" applyBorder="1" applyAlignment="1">
      <alignment horizontal="center"/>
    </xf>
    <xf numFmtId="0" fontId="1" fillId="0" borderId="0" xfId="0" applyFont="1" applyBorder="1"/>
    <xf numFmtId="0" fontId="0" fillId="0" borderId="0" xfId="0" applyFont="1" applyFill="1" applyBorder="1"/>
    <xf numFmtId="0" fontId="0" fillId="0" borderId="0" xfId="0" applyFill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9" fontId="1" fillId="0" borderId="5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2" fontId="0" fillId="0" borderId="0" xfId="0" applyNumberFormat="1" applyFill="1" applyBorder="1"/>
    <xf numFmtId="2" fontId="0" fillId="0" borderId="6" xfId="0" applyNumberFormat="1" applyFill="1" applyBorder="1"/>
    <xf numFmtId="2" fontId="0" fillId="0" borderId="6" xfId="0" applyNumberFormat="1" applyFill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0" fillId="2" borderId="1" xfId="0" applyFill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/>
    </xf>
  </cellXfs>
  <cellStyles count="1">
    <cellStyle name="Normal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AU"/>
              <a:t>Battery Net</a:t>
            </a:r>
            <a:r>
              <a:rPr lang="en-AU" baseline="0"/>
              <a:t> State of Charge</a:t>
            </a:r>
            <a:endParaRPr lang="en-AU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Summer SoC</c:v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Sheet1!$B$39:$P$39</c:f>
              <c:numCache>
                <c:formatCode>General</c:formatCode>
                <c:ptCount val="1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</c:numCache>
            </c:numRef>
          </c:cat>
          <c:val>
            <c:numRef>
              <c:f>Sheet1!$B$51:$P$51</c:f>
              <c:numCache>
                <c:formatCode>General</c:formatCode>
                <c:ptCount val="15"/>
                <c:pt idx="0">
                  <c:v>90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</c:numCache>
            </c:numRef>
          </c:val>
        </c:ser>
        <c:ser>
          <c:idx val="2"/>
          <c:order val="2"/>
          <c:tx>
            <c:v>Winter SoC</c:v>
          </c:tx>
          <c:spPr>
            <a:solidFill>
              <a:srgbClr val="0070C0"/>
            </a:solidFill>
          </c:spPr>
          <c:invertIfNegative val="0"/>
          <c:cat>
            <c:numRef>
              <c:f>Sheet1!$B$39:$P$39</c:f>
              <c:numCache>
                <c:formatCode>General</c:formatCode>
                <c:ptCount val="1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</c:numCache>
            </c:numRef>
          </c:cat>
          <c:val>
            <c:numRef>
              <c:f>Sheet1!$B$52:$P$52</c:f>
              <c:numCache>
                <c:formatCode>General</c:formatCode>
                <c:ptCount val="15"/>
                <c:pt idx="0">
                  <c:v>90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478464"/>
        <c:axId val="50521600"/>
      </c:barChart>
      <c:lineChart>
        <c:grouping val="standard"/>
        <c:varyColors val="0"/>
        <c:ser>
          <c:idx val="1"/>
          <c:order val="1"/>
          <c:tx>
            <c:v>Min Allowable SoC</c:v>
          </c:tx>
          <c:marker>
            <c:symbol val="none"/>
          </c:marker>
          <c:val>
            <c:numRef>
              <c:f>Sheet1!$B$53:$P$53</c:f>
              <c:numCache>
                <c:formatCode>General</c:formatCode>
                <c:ptCount val="15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40</c:v>
                </c:pt>
                <c:pt idx="8">
                  <c:v>40</c:v>
                </c:pt>
                <c:pt idx="9">
                  <c:v>40</c:v>
                </c:pt>
                <c:pt idx="10">
                  <c:v>40</c:v>
                </c:pt>
                <c:pt idx="11">
                  <c:v>40</c:v>
                </c:pt>
                <c:pt idx="12">
                  <c:v>40</c:v>
                </c:pt>
                <c:pt idx="13">
                  <c:v>40</c:v>
                </c:pt>
                <c:pt idx="14">
                  <c:v>40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478464"/>
        <c:axId val="50521600"/>
      </c:lineChart>
      <c:catAx>
        <c:axId val="50478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Trip</a:t>
                </a:r>
                <a:r>
                  <a:rPr lang="en-AU" baseline="0"/>
                  <a:t> Duration (days)</a:t>
                </a:r>
                <a:endParaRPr lang="en-AU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50521600"/>
        <c:crosses val="autoZero"/>
        <c:auto val="1"/>
        <c:lblAlgn val="ctr"/>
        <c:lblOffset val="100"/>
        <c:noMultiLvlLbl val="0"/>
      </c:catAx>
      <c:valAx>
        <c:axId val="50521600"/>
        <c:scaling>
          <c:orientation val="minMax"/>
          <c:max val="11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Stat</a:t>
                </a:r>
                <a:r>
                  <a:rPr lang="en-AU" baseline="0"/>
                  <a:t>e of Charge (%)</a:t>
                </a:r>
                <a:endParaRPr lang="en-AU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504784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53</xdr:row>
      <xdr:rowOff>142874</xdr:rowOff>
    </xdr:from>
    <xdr:to>
      <xdr:col>16</xdr:col>
      <xdr:colOff>476250</xdr:colOff>
      <xdr:row>81</xdr:row>
      <xdr:rowOff>38099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1057275</xdr:colOff>
      <xdr:row>0</xdr:row>
      <xdr:rowOff>76200</xdr:rowOff>
    </xdr:from>
    <xdr:to>
      <xdr:col>1</xdr:col>
      <xdr:colOff>180975</xdr:colOff>
      <xdr:row>5</xdr:row>
      <xdr:rowOff>66675</xdr:rowOff>
    </xdr:to>
    <xdr:sp macro="" textlink="">
      <xdr:nvSpPr>
        <xdr:cNvPr id="6" name="Flowchart: Data 5"/>
        <xdr:cNvSpPr/>
      </xdr:nvSpPr>
      <xdr:spPr bwMode="auto">
        <a:xfrm>
          <a:off x="1057275" y="76200"/>
          <a:ext cx="762000" cy="704850"/>
        </a:xfrm>
        <a:prstGeom prst="flowChartInputOutput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AU" sz="1100"/>
            <a:t>Panel</a:t>
          </a:r>
        </a:p>
      </xdr:txBody>
    </xdr:sp>
    <xdr:clientData/>
  </xdr:twoCellAnchor>
  <xdr:twoCellAnchor>
    <xdr:from>
      <xdr:col>8</xdr:col>
      <xdr:colOff>0</xdr:colOff>
      <xdr:row>2</xdr:row>
      <xdr:rowOff>0</xdr:rowOff>
    </xdr:from>
    <xdr:to>
      <xdr:col>9</xdr:col>
      <xdr:colOff>9525</xdr:colOff>
      <xdr:row>4</xdr:row>
      <xdr:rowOff>0</xdr:rowOff>
    </xdr:to>
    <xdr:sp macro="" textlink="">
      <xdr:nvSpPr>
        <xdr:cNvPr id="7" name="Rectangle 6"/>
        <xdr:cNvSpPr/>
      </xdr:nvSpPr>
      <xdr:spPr bwMode="auto">
        <a:xfrm>
          <a:off x="5372100" y="285750"/>
          <a:ext cx="542925" cy="285750"/>
        </a:xfrm>
        <a:prstGeom prst="rect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AU" sz="1100"/>
            <a:t>Regulator</a:t>
          </a:r>
        </a:p>
      </xdr:txBody>
    </xdr:sp>
    <xdr:clientData/>
  </xdr:twoCellAnchor>
  <xdr:twoCellAnchor>
    <xdr:from>
      <xdr:col>1</xdr:col>
      <xdr:colOff>104775</xdr:colOff>
      <xdr:row>3</xdr:row>
      <xdr:rowOff>0</xdr:rowOff>
    </xdr:from>
    <xdr:to>
      <xdr:col>8</xdr:col>
      <xdr:colOff>0</xdr:colOff>
      <xdr:row>3</xdr:row>
      <xdr:rowOff>0</xdr:rowOff>
    </xdr:to>
    <xdr:cxnSp macro="">
      <xdr:nvCxnSpPr>
        <xdr:cNvPr id="9" name="Straight Connector 8"/>
        <xdr:cNvCxnSpPr>
          <a:stCxn id="6" idx="5"/>
          <a:endCxn id="7" idx="1"/>
        </xdr:cNvCxnSpPr>
      </xdr:nvCxnSpPr>
      <xdr:spPr bwMode="auto">
        <a:xfrm>
          <a:off x="1743075" y="428625"/>
          <a:ext cx="3629025" cy="0"/>
        </a:xfrm>
        <a:prstGeom prst="line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15</xdr:col>
      <xdr:colOff>704850</xdr:colOff>
      <xdr:row>1</xdr:row>
      <xdr:rowOff>104775</xdr:rowOff>
    </xdr:from>
    <xdr:to>
      <xdr:col>16</xdr:col>
      <xdr:colOff>95250</xdr:colOff>
      <xdr:row>4</xdr:row>
      <xdr:rowOff>38100</xdr:rowOff>
    </xdr:to>
    <xdr:sp macro="" textlink="">
      <xdr:nvSpPr>
        <xdr:cNvPr id="10" name="Rectangle 9"/>
        <xdr:cNvSpPr/>
      </xdr:nvSpPr>
      <xdr:spPr bwMode="auto">
        <a:xfrm>
          <a:off x="10077450" y="247650"/>
          <a:ext cx="647700" cy="361950"/>
        </a:xfrm>
        <a:prstGeom prst="rect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AU" sz="1100"/>
            <a:t>Battery</a:t>
          </a:r>
        </a:p>
      </xdr:txBody>
    </xdr:sp>
    <xdr:clientData/>
  </xdr:twoCellAnchor>
  <xdr:twoCellAnchor>
    <xdr:from>
      <xdr:col>15</xdr:col>
      <xdr:colOff>742950</xdr:colOff>
      <xdr:row>0</xdr:row>
      <xdr:rowOff>142874</xdr:rowOff>
    </xdr:from>
    <xdr:to>
      <xdr:col>15</xdr:col>
      <xdr:colOff>895350</xdr:colOff>
      <xdr:row>1</xdr:row>
      <xdr:rowOff>104774</xdr:rowOff>
    </xdr:to>
    <xdr:sp macro="" textlink="">
      <xdr:nvSpPr>
        <xdr:cNvPr id="11" name="Rectangle 10"/>
        <xdr:cNvSpPr/>
      </xdr:nvSpPr>
      <xdr:spPr bwMode="auto">
        <a:xfrm>
          <a:off x="10115550" y="142874"/>
          <a:ext cx="152400" cy="104775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AU" sz="1100"/>
        </a:p>
      </xdr:txBody>
    </xdr:sp>
    <xdr:clientData/>
  </xdr:twoCellAnchor>
  <xdr:twoCellAnchor>
    <xdr:from>
      <xdr:col>15</xdr:col>
      <xdr:colOff>1171575</xdr:colOff>
      <xdr:row>0</xdr:row>
      <xdr:rowOff>142874</xdr:rowOff>
    </xdr:from>
    <xdr:to>
      <xdr:col>16</xdr:col>
      <xdr:colOff>66675</xdr:colOff>
      <xdr:row>1</xdr:row>
      <xdr:rowOff>104774</xdr:rowOff>
    </xdr:to>
    <xdr:sp macro="" textlink="">
      <xdr:nvSpPr>
        <xdr:cNvPr id="12" name="Rectangle 11"/>
        <xdr:cNvSpPr/>
      </xdr:nvSpPr>
      <xdr:spPr bwMode="auto">
        <a:xfrm>
          <a:off x="10544175" y="142874"/>
          <a:ext cx="152400" cy="104775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AU" sz="1100"/>
        </a:p>
      </xdr:txBody>
    </xdr:sp>
    <xdr:clientData/>
  </xdr:twoCellAnchor>
  <xdr:twoCellAnchor>
    <xdr:from>
      <xdr:col>9</xdr:col>
      <xdr:colOff>9525</xdr:colOff>
      <xdr:row>3</xdr:row>
      <xdr:rowOff>0</xdr:rowOff>
    </xdr:from>
    <xdr:to>
      <xdr:col>15</xdr:col>
      <xdr:colOff>704850</xdr:colOff>
      <xdr:row>3</xdr:row>
      <xdr:rowOff>0</xdr:rowOff>
    </xdr:to>
    <xdr:cxnSp macro="">
      <xdr:nvCxnSpPr>
        <xdr:cNvPr id="14" name="Straight Connector 13"/>
        <xdr:cNvCxnSpPr>
          <a:stCxn id="7" idx="3"/>
          <a:endCxn id="10" idx="1"/>
        </xdr:cNvCxnSpPr>
      </xdr:nvCxnSpPr>
      <xdr:spPr bwMode="auto">
        <a:xfrm>
          <a:off x="5915025" y="428625"/>
          <a:ext cx="4162425" cy="0"/>
        </a:xfrm>
        <a:prstGeom prst="line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4</xdr:col>
      <xdr:colOff>304800</xdr:colOff>
      <xdr:row>3</xdr:row>
      <xdr:rowOff>38100</xdr:rowOff>
    </xdr:from>
    <xdr:to>
      <xdr:col>4</xdr:col>
      <xdr:colOff>314325</xdr:colOff>
      <xdr:row>5</xdr:row>
      <xdr:rowOff>104775</xdr:rowOff>
    </xdr:to>
    <xdr:cxnSp macro="">
      <xdr:nvCxnSpPr>
        <xdr:cNvPr id="17" name="Straight Arrow Connector 16"/>
        <xdr:cNvCxnSpPr/>
      </xdr:nvCxnSpPr>
      <xdr:spPr bwMode="auto">
        <a:xfrm flipH="1" flipV="1">
          <a:off x="3543300" y="466725"/>
          <a:ext cx="9525" cy="352425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11</xdr:col>
      <xdr:colOff>333375</xdr:colOff>
      <xdr:row>3</xdr:row>
      <xdr:rowOff>28575</xdr:rowOff>
    </xdr:from>
    <xdr:to>
      <xdr:col>11</xdr:col>
      <xdr:colOff>333375</xdr:colOff>
      <xdr:row>5</xdr:row>
      <xdr:rowOff>95250</xdr:rowOff>
    </xdr:to>
    <xdr:cxnSp macro="">
      <xdr:nvCxnSpPr>
        <xdr:cNvPr id="19" name="Straight Arrow Connector 18"/>
        <xdr:cNvCxnSpPr/>
      </xdr:nvCxnSpPr>
      <xdr:spPr bwMode="auto">
        <a:xfrm flipV="1">
          <a:off x="7505700" y="457200"/>
          <a:ext cx="0" cy="352425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2</xdr:col>
      <xdr:colOff>390526</xdr:colOff>
      <xdr:row>10</xdr:row>
      <xdr:rowOff>28575</xdr:rowOff>
    </xdr:from>
    <xdr:to>
      <xdr:col>3</xdr:col>
      <xdr:colOff>504825</xdr:colOff>
      <xdr:row>11</xdr:row>
      <xdr:rowOff>66675</xdr:rowOff>
    </xdr:to>
    <xdr:cxnSp macro="">
      <xdr:nvCxnSpPr>
        <xdr:cNvPr id="3" name="Straight Arrow Connector 2"/>
        <xdr:cNvCxnSpPr/>
      </xdr:nvCxnSpPr>
      <xdr:spPr bwMode="auto">
        <a:xfrm flipH="1" flipV="1">
          <a:off x="2562226" y="1457325"/>
          <a:ext cx="647699" cy="180975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7:Y79"/>
  <sheetViews>
    <sheetView tabSelected="1" topLeftCell="A31" workbookViewId="0">
      <selection activeCell="M52" sqref="M52"/>
    </sheetView>
  </sheetViews>
  <sheetFormatPr defaultRowHeight="11.25" x14ac:dyDescent="0.2"/>
  <cols>
    <col min="1" max="1" width="28.6640625" bestFit="1" customWidth="1"/>
    <col min="9" max="9" width="12.83203125" bestFit="1" customWidth="1"/>
    <col min="12" max="12" width="11.6640625" bestFit="1" customWidth="1"/>
    <col min="13" max="13" width="17.83203125" bestFit="1" customWidth="1"/>
    <col min="16" max="16" width="22" bestFit="1" customWidth="1"/>
    <col min="18" max="18" width="9.33203125" style="1"/>
  </cols>
  <sheetData>
    <row r="7" spans="1:17" x14ac:dyDescent="0.2">
      <c r="A7" s="30" t="s">
        <v>142</v>
      </c>
      <c r="B7" s="53">
        <v>100</v>
      </c>
      <c r="C7" s="25" t="s">
        <v>117</v>
      </c>
      <c r="E7" s="29" t="s">
        <v>135</v>
      </c>
      <c r="F7" s="20">
        <v>5</v>
      </c>
      <c r="G7" t="s">
        <v>137</v>
      </c>
      <c r="H7" s="31" t="s">
        <v>139</v>
      </c>
      <c r="J7" s="20" t="s">
        <v>149</v>
      </c>
      <c r="L7" s="25" t="s">
        <v>135</v>
      </c>
      <c r="M7" s="20">
        <v>10</v>
      </c>
      <c r="N7" s="25" t="s">
        <v>137</v>
      </c>
      <c r="O7" s="6"/>
      <c r="P7" s="35" t="s">
        <v>144</v>
      </c>
      <c r="Q7" s="20">
        <v>100</v>
      </c>
    </row>
    <row r="8" spans="1:17" x14ac:dyDescent="0.2">
      <c r="A8" s="29" t="s">
        <v>169</v>
      </c>
      <c r="B8" s="53">
        <v>5.88</v>
      </c>
      <c r="C8" t="s">
        <v>162</v>
      </c>
      <c r="E8" s="29" t="s">
        <v>136</v>
      </c>
      <c r="F8" s="20">
        <v>16</v>
      </c>
      <c r="G8" s="25" t="s">
        <v>138</v>
      </c>
      <c r="H8" s="25" t="s">
        <v>141</v>
      </c>
      <c r="J8" s="20">
        <v>0.9</v>
      </c>
      <c r="K8" s="25" t="s">
        <v>140</v>
      </c>
      <c r="L8" s="25" t="s">
        <v>136</v>
      </c>
      <c r="M8" s="20">
        <v>16</v>
      </c>
      <c r="N8" s="25" t="s">
        <v>138</v>
      </c>
      <c r="O8" s="6"/>
      <c r="P8" s="36" t="s">
        <v>151</v>
      </c>
    </row>
    <row r="9" spans="1:17" x14ac:dyDescent="0.2">
      <c r="A9" s="30" t="s">
        <v>170</v>
      </c>
      <c r="B9" s="53">
        <v>20.6</v>
      </c>
      <c r="C9" s="25" t="s">
        <v>160</v>
      </c>
      <c r="E9" s="30" t="s">
        <v>163</v>
      </c>
      <c r="F9" s="43">
        <f>(2*F7*B12*0.017)/F8</f>
        <v>5.4665625000000002E-2</v>
      </c>
      <c r="G9" s="25" t="s">
        <v>160</v>
      </c>
      <c r="H9" s="25" t="s">
        <v>161</v>
      </c>
      <c r="J9" s="43">
        <f>(IF(J7=Sheet2!L4,Sheet1!B12*B13*J8,IF(J7=Sheet2!L5,(Sheet1!B7*B13*(1-F10/100))/13.6,IF(J7=Sheet2!L6,(Sheet2!M13*(Sheet2!M12-F9)/13.6),0))))*J8</f>
        <v>5.5961865190257356</v>
      </c>
      <c r="K9" s="25" t="s">
        <v>162</v>
      </c>
      <c r="L9" s="25" t="s">
        <v>164</v>
      </c>
      <c r="M9" s="43">
        <f>((2*M7*J9*0.017)/M8)</f>
        <v>0.11891896352929689</v>
      </c>
      <c r="N9" s="25" t="s">
        <v>160</v>
      </c>
      <c r="O9" s="6"/>
      <c r="P9" s="25" t="s">
        <v>159</v>
      </c>
      <c r="Q9" s="20">
        <v>20</v>
      </c>
    </row>
    <row r="10" spans="1:17" x14ac:dyDescent="0.2">
      <c r="A10" s="30" t="s">
        <v>173</v>
      </c>
      <c r="B10" s="53"/>
      <c r="C10" s="33" t="s">
        <v>162</v>
      </c>
      <c r="E10" s="30"/>
      <c r="F10" s="43">
        <f>(F9/B9)*100</f>
        <v>0.26536711165048543</v>
      </c>
      <c r="G10" s="25" t="s">
        <v>140</v>
      </c>
      <c r="H10" s="25"/>
      <c r="J10" s="43"/>
      <c r="K10" s="25"/>
      <c r="L10" s="25"/>
      <c r="M10" s="43">
        <f>(M9/13.6)*100</f>
        <v>0.8744041435977713</v>
      </c>
      <c r="N10" s="25" t="s">
        <v>140</v>
      </c>
      <c r="O10" s="6"/>
      <c r="P10" s="35" t="s">
        <v>145</v>
      </c>
      <c r="Q10" s="20">
        <v>90</v>
      </c>
    </row>
    <row r="11" spans="1:17" x14ac:dyDescent="0.2">
      <c r="A11" s="30" t="s">
        <v>174</v>
      </c>
      <c r="B11" s="53"/>
      <c r="C11" s="33" t="s">
        <v>160</v>
      </c>
      <c r="E11" s="30"/>
      <c r="F11" s="43"/>
      <c r="G11" s="25"/>
      <c r="H11" s="25"/>
      <c r="J11" s="43"/>
      <c r="K11" s="25"/>
      <c r="L11" s="25"/>
      <c r="M11" s="43"/>
      <c r="N11" s="25"/>
      <c r="O11" s="6"/>
      <c r="P11" s="35" t="s">
        <v>146</v>
      </c>
      <c r="Q11" s="20">
        <v>40</v>
      </c>
    </row>
    <row r="12" spans="1:17" x14ac:dyDescent="0.2">
      <c r="A12" s="32" t="s">
        <v>147</v>
      </c>
      <c r="B12" s="54">
        <f>(B7*B13)/(B9*0.8)</f>
        <v>5.1449999999999996</v>
      </c>
      <c r="C12" s="33" t="s">
        <v>162</v>
      </c>
      <c r="E12" s="56" t="s">
        <v>175</v>
      </c>
      <c r="M12" s="43"/>
      <c r="N12" s="25"/>
      <c r="O12" s="6"/>
      <c r="P12" s="35" t="s">
        <v>129</v>
      </c>
      <c r="Q12" s="4">
        <f>IF(J17=Sheet2!L8,Sheet2!N8,IF(J17=Sheet2!L9,Sheet2!N9,IF(J17=Sheet2!L10,Sheet2!N10,(LOG(C18/C17)/(LOG(F17/C17)-LOG(F18/C18))))))</f>
        <v>1.2</v>
      </c>
    </row>
    <row r="13" spans="1:17" x14ac:dyDescent="0.2">
      <c r="A13" s="30" t="s">
        <v>143</v>
      </c>
      <c r="B13" s="55">
        <f>(B8*0.7*B9)/B7</f>
        <v>0.84789599999999998</v>
      </c>
      <c r="C13" s="25" t="s">
        <v>140</v>
      </c>
      <c r="F13" s="43"/>
      <c r="G13" s="25"/>
      <c r="P13" s="35" t="s">
        <v>122</v>
      </c>
      <c r="Q13" s="46">
        <f>(((13.6-M9)/13.6)^2)*0.9</f>
        <v>0.88432953784981094</v>
      </c>
    </row>
    <row r="14" spans="1:17" x14ac:dyDescent="0.2">
      <c r="A14" s="52"/>
      <c r="B14" s="44"/>
      <c r="C14" s="33"/>
      <c r="F14" s="43"/>
      <c r="G14" s="25"/>
    </row>
    <row r="15" spans="1:17" ht="12" thickBot="1" x14ac:dyDescent="0.25">
      <c r="O15" s="6"/>
    </row>
    <row r="16" spans="1:17" x14ac:dyDescent="0.2">
      <c r="A16" s="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3"/>
      <c r="O16" s="6"/>
    </row>
    <row r="17" spans="1:25" x14ac:dyDescent="0.2">
      <c r="A17" s="17" t="s">
        <v>130</v>
      </c>
      <c r="B17" s="35" t="s">
        <v>131</v>
      </c>
      <c r="C17" s="34"/>
      <c r="E17" s="35" t="s">
        <v>132</v>
      </c>
      <c r="F17" s="34"/>
      <c r="G17" s="6"/>
      <c r="H17" s="35" t="s">
        <v>156</v>
      </c>
      <c r="I17" s="6"/>
      <c r="J17" s="57" t="s">
        <v>154</v>
      </c>
      <c r="K17" s="57"/>
      <c r="L17" s="57"/>
      <c r="M17" s="7"/>
    </row>
    <row r="18" spans="1:25" x14ac:dyDescent="0.2">
      <c r="A18" s="3"/>
      <c r="B18" s="35" t="s">
        <v>133</v>
      </c>
      <c r="C18" s="34"/>
      <c r="E18" s="35" t="s">
        <v>134</v>
      </c>
      <c r="F18" s="34"/>
      <c r="G18" s="6"/>
      <c r="I18" s="6"/>
      <c r="J18" s="6"/>
      <c r="K18" s="6"/>
      <c r="L18" s="6"/>
      <c r="M18" s="7"/>
    </row>
    <row r="19" spans="1:25" x14ac:dyDescent="0.2">
      <c r="A19" s="3"/>
      <c r="B19" s="6"/>
      <c r="C19" s="6"/>
      <c r="D19" s="6"/>
      <c r="E19" s="6"/>
      <c r="F19" s="6"/>
      <c r="G19" s="6"/>
      <c r="H19" s="35" t="s">
        <v>157</v>
      </c>
      <c r="I19" s="6"/>
      <c r="J19" s="6"/>
      <c r="K19" s="6"/>
      <c r="L19" s="6"/>
      <c r="M19" s="7"/>
    </row>
    <row r="20" spans="1:25" x14ac:dyDescent="0.2">
      <c r="A20" s="3"/>
      <c r="B20" s="35" t="s">
        <v>155</v>
      </c>
      <c r="C20" s="6"/>
      <c r="D20" s="6"/>
      <c r="E20" s="6"/>
      <c r="F20" s="6"/>
      <c r="G20" s="6"/>
      <c r="H20" s="35" t="s">
        <v>158</v>
      </c>
      <c r="I20" s="6"/>
      <c r="J20" s="6"/>
      <c r="K20" s="6"/>
      <c r="L20" s="6"/>
      <c r="M20" s="7"/>
    </row>
    <row r="21" spans="1:25" ht="12" thickBot="1" x14ac:dyDescent="0.25">
      <c r="A21" s="8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10"/>
    </row>
    <row r="22" spans="1:25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25" ht="12" thickBot="1" x14ac:dyDescent="0.25">
      <c r="A23" t="s">
        <v>4</v>
      </c>
      <c r="K23" t="s">
        <v>105</v>
      </c>
      <c r="O23" s="25" t="s">
        <v>168</v>
      </c>
      <c r="R23" s="37"/>
    </row>
    <row r="24" spans="1:25" x14ac:dyDescent="0.2">
      <c r="A24" s="2"/>
      <c r="B24" s="26" t="s">
        <v>2</v>
      </c>
      <c r="C24" s="26"/>
      <c r="D24" s="26"/>
      <c r="E24" s="26"/>
      <c r="F24" s="26" t="s">
        <v>3</v>
      </c>
      <c r="G24" s="26"/>
      <c r="H24" s="26"/>
      <c r="I24" s="27"/>
      <c r="K24" s="2"/>
      <c r="L24" s="12"/>
      <c r="M24" s="13"/>
      <c r="O24" s="2"/>
      <c r="P24" s="13"/>
      <c r="Q24" s="25"/>
      <c r="R24" s="25"/>
      <c r="S24" s="25"/>
      <c r="T24" s="25"/>
      <c r="U24" s="25"/>
      <c r="V24" s="25"/>
      <c r="W24" s="25"/>
      <c r="X24" s="25"/>
      <c r="Y24" s="25"/>
    </row>
    <row r="25" spans="1:25" x14ac:dyDescent="0.2">
      <c r="A25" s="3"/>
      <c r="B25" s="4" t="s">
        <v>7</v>
      </c>
      <c r="C25" s="16" t="s">
        <v>117</v>
      </c>
      <c r="D25" s="4" t="s">
        <v>8</v>
      </c>
      <c r="E25" s="4" t="s">
        <v>9</v>
      </c>
      <c r="F25" s="4" t="s">
        <v>7</v>
      </c>
      <c r="G25" s="16" t="s">
        <v>117</v>
      </c>
      <c r="H25" s="4" t="s">
        <v>8</v>
      </c>
      <c r="I25" s="5" t="s">
        <v>9</v>
      </c>
      <c r="K25" s="14" t="s">
        <v>106</v>
      </c>
      <c r="L25" s="6"/>
      <c r="M25" s="22" t="s">
        <v>98</v>
      </c>
      <c r="O25" s="41">
        <v>1</v>
      </c>
      <c r="P25" s="5">
        <v>12.75</v>
      </c>
      <c r="R25"/>
    </row>
    <row r="26" spans="1:25" x14ac:dyDescent="0.2">
      <c r="A26" s="21" t="s">
        <v>0</v>
      </c>
      <c r="B26" s="20">
        <v>0</v>
      </c>
      <c r="C26" s="11">
        <f>B26*12</f>
        <v>0</v>
      </c>
      <c r="D26" s="20">
        <v>0</v>
      </c>
      <c r="E26" s="46">
        <f>(B26^Q12)*D26*M32</f>
        <v>0</v>
      </c>
      <c r="F26" s="20">
        <v>0</v>
      </c>
      <c r="G26" s="11">
        <f>F26*12</f>
        <v>0</v>
      </c>
      <c r="H26" s="20">
        <v>0</v>
      </c>
      <c r="I26" s="45">
        <f>(F26^Q12)*H26*M32*0.8</f>
        <v>0</v>
      </c>
      <c r="K26" s="3"/>
      <c r="L26" s="6"/>
      <c r="M26" s="7"/>
      <c r="O26" s="41">
        <v>0.9</v>
      </c>
      <c r="P26" s="5">
        <v>12.65</v>
      </c>
      <c r="Q26" s="25"/>
      <c r="R26" s="25"/>
      <c r="S26" s="25"/>
      <c r="T26" s="25"/>
      <c r="U26" s="25"/>
      <c r="V26" s="25"/>
      <c r="W26" s="25"/>
      <c r="X26" s="25"/>
      <c r="Y26" s="25"/>
    </row>
    <row r="27" spans="1:25" x14ac:dyDescent="0.2">
      <c r="A27" s="21" t="s">
        <v>5</v>
      </c>
      <c r="B27" s="20">
        <v>0</v>
      </c>
      <c r="C27" s="11">
        <f t="shared" ref="C27:C33" si="0">B27*12</f>
        <v>0</v>
      </c>
      <c r="D27" s="20">
        <v>0</v>
      </c>
      <c r="E27" s="46">
        <f t="shared" ref="E27:E33" si="1">(B27^$Q$12)*D27</f>
        <v>0</v>
      </c>
      <c r="F27" s="20">
        <v>0</v>
      </c>
      <c r="G27" s="11">
        <f t="shared" ref="G27:G33" si="2">F27*12</f>
        <v>0</v>
      </c>
      <c r="H27" s="20">
        <v>0</v>
      </c>
      <c r="I27" s="45">
        <f t="shared" ref="I27:I33" si="3">(F27^$Q$12)*H27</f>
        <v>0</v>
      </c>
      <c r="K27" s="3" t="s">
        <v>13</v>
      </c>
      <c r="L27" s="6"/>
      <c r="M27" s="5" t="str">
        <f>VLOOKUP(Sheet1!$M$25,Sheet2!$A$4:$F$31,2,FALSE)</f>
        <v>35°19'S</v>
      </c>
      <c r="O27" s="41">
        <v>0.8</v>
      </c>
      <c r="P27" s="42">
        <v>12.55</v>
      </c>
      <c r="R27" s="37"/>
    </row>
    <row r="28" spans="1:25" x14ac:dyDescent="0.2">
      <c r="A28" s="21" t="s">
        <v>6</v>
      </c>
      <c r="B28" s="20">
        <v>0</v>
      </c>
      <c r="C28" s="11">
        <f t="shared" si="0"/>
        <v>0</v>
      </c>
      <c r="D28" s="20">
        <v>0</v>
      </c>
      <c r="E28" s="46">
        <f t="shared" si="1"/>
        <v>0</v>
      </c>
      <c r="F28" s="20">
        <v>0</v>
      </c>
      <c r="G28" s="11">
        <f t="shared" si="2"/>
        <v>0</v>
      </c>
      <c r="H28" s="20">
        <v>0</v>
      </c>
      <c r="I28" s="45">
        <f t="shared" si="3"/>
        <v>0</v>
      </c>
      <c r="K28" s="3" t="s">
        <v>12</v>
      </c>
      <c r="L28" s="6"/>
      <c r="M28" s="5" t="str">
        <f>VLOOKUP(Sheet1!$M$25,Sheet2!$A$4:$F$31,3,FALSE)</f>
        <v>149°12'E</v>
      </c>
      <c r="O28" s="41">
        <v>0.7</v>
      </c>
      <c r="P28" s="42">
        <v>12.45</v>
      </c>
      <c r="R28" s="37"/>
    </row>
    <row r="29" spans="1:25" x14ac:dyDescent="0.2">
      <c r="A29" s="21" t="s">
        <v>1</v>
      </c>
      <c r="B29" s="20">
        <v>0</v>
      </c>
      <c r="C29" s="11">
        <f t="shared" si="0"/>
        <v>0</v>
      </c>
      <c r="D29" s="20">
        <v>0</v>
      </c>
      <c r="E29" s="46">
        <f t="shared" si="1"/>
        <v>0</v>
      </c>
      <c r="F29" s="20">
        <v>0</v>
      </c>
      <c r="G29" s="11">
        <f t="shared" si="2"/>
        <v>0</v>
      </c>
      <c r="H29" s="20">
        <v>0</v>
      </c>
      <c r="I29" s="45">
        <f t="shared" si="3"/>
        <v>0</v>
      </c>
      <c r="K29" s="3" t="s">
        <v>107</v>
      </c>
      <c r="L29" s="6"/>
      <c r="M29" s="5" t="str">
        <f>VLOOKUP(Sheet1!$M$25,Sheet2!$A$4:$F$31,4,FALSE)</f>
        <v>35°</v>
      </c>
      <c r="O29" s="41">
        <v>0.6</v>
      </c>
      <c r="P29" s="42">
        <v>12.35</v>
      </c>
      <c r="R29" s="37"/>
    </row>
    <row r="30" spans="1:25" x14ac:dyDescent="0.2">
      <c r="A30" s="21" t="s">
        <v>128</v>
      </c>
      <c r="B30" s="20">
        <v>0</v>
      </c>
      <c r="C30" s="11">
        <f t="shared" si="0"/>
        <v>0</v>
      </c>
      <c r="D30" s="20">
        <v>0</v>
      </c>
      <c r="E30" s="46">
        <f t="shared" si="1"/>
        <v>0</v>
      </c>
      <c r="F30" s="20">
        <v>0</v>
      </c>
      <c r="G30" s="11">
        <f t="shared" si="2"/>
        <v>0</v>
      </c>
      <c r="H30" s="20">
        <v>0</v>
      </c>
      <c r="I30" s="45">
        <f t="shared" si="3"/>
        <v>0</v>
      </c>
      <c r="K30" s="3" t="s">
        <v>108</v>
      </c>
      <c r="L30" s="6"/>
      <c r="M30" s="5">
        <f>VLOOKUP(Sheet1!$M$25,Sheet2!$A$4:$F$31,5,FALSE)</f>
        <v>7.18</v>
      </c>
      <c r="O30" s="41">
        <v>0.5</v>
      </c>
      <c r="P30" s="42">
        <v>12.25</v>
      </c>
      <c r="R30" s="37"/>
    </row>
    <row r="31" spans="1:25" x14ac:dyDescent="0.2">
      <c r="A31" s="21" t="s">
        <v>128</v>
      </c>
      <c r="B31" s="20">
        <v>0</v>
      </c>
      <c r="C31" s="11">
        <f t="shared" ref="C31" si="4">B31*12</f>
        <v>0</v>
      </c>
      <c r="D31" s="20">
        <v>0</v>
      </c>
      <c r="E31" s="46">
        <f t="shared" si="1"/>
        <v>0</v>
      </c>
      <c r="F31" s="20">
        <v>0</v>
      </c>
      <c r="G31" s="11">
        <f t="shared" ref="G31" si="5">F31*12</f>
        <v>0</v>
      </c>
      <c r="H31" s="20">
        <v>0</v>
      </c>
      <c r="I31" s="45">
        <f t="shared" si="3"/>
        <v>0</v>
      </c>
      <c r="K31" s="3" t="s">
        <v>109</v>
      </c>
      <c r="L31" s="6"/>
      <c r="M31" s="5">
        <f>VLOOKUP(Sheet1!$M$25,Sheet2!$A$4:$F$31,6,FALSE)</f>
        <v>3.58</v>
      </c>
      <c r="O31" s="41">
        <v>0.4</v>
      </c>
      <c r="P31" s="42">
        <v>12.1</v>
      </c>
      <c r="R31" s="37"/>
    </row>
    <row r="32" spans="1:25" x14ac:dyDescent="0.2">
      <c r="A32" s="21" t="s">
        <v>128</v>
      </c>
      <c r="B32" s="20">
        <v>0</v>
      </c>
      <c r="C32" s="11">
        <f t="shared" si="0"/>
        <v>0</v>
      </c>
      <c r="D32" s="20">
        <v>0</v>
      </c>
      <c r="E32" s="46">
        <f t="shared" si="1"/>
        <v>0</v>
      </c>
      <c r="F32" s="20">
        <v>0</v>
      </c>
      <c r="G32" s="11">
        <f t="shared" si="2"/>
        <v>0</v>
      </c>
      <c r="H32" s="20">
        <v>0</v>
      </c>
      <c r="I32" s="45">
        <f t="shared" si="3"/>
        <v>0</v>
      </c>
      <c r="K32" s="17" t="s">
        <v>118</v>
      </c>
      <c r="L32" s="6"/>
      <c r="M32" s="5">
        <f>VLOOKUP(Sheet1!$M$25,Sheet2!$A$4:$J$31,9,FALSE)</f>
        <v>0.31</v>
      </c>
      <c r="O32" s="41">
        <v>0.3</v>
      </c>
      <c r="P32" s="42">
        <v>11.95</v>
      </c>
      <c r="R32" s="37"/>
    </row>
    <row r="33" spans="1:18" x14ac:dyDescent="0.2">
      <c r="A33" s="21" t="s">
        <v>128</v>
      </c>
      <c r="B33" s="20">
        <v>0</v>
      </c>
      <c r="C33" s="11">
        <f t="shared" si="0"/>
        <v>0</v>
      </c>
      <c r="D33" s="20">
        <v>0</v>
      </c>
      <c r="E33" s="46">
        <f t="shared" si="1"/>
        <v>0</v>
      </c>
      <c r="F33" s="20">
        <v>0</v>
      </c>
      <c r="G33" s="11">
        <f t="shared" si="2"/>
        <v>0</v>
      </c>
      <c r="H33" s="20">
        <v>0</v>
      </c>
      <c r="I33" s="45">
        <f t="shared" si="3"/>
        <v>0</v>
      </c>
      <c r="K33" s="17" t="s">
        <v>119</v>
      </c>
      <c r="L33" s="6"/>
      <c r="M33" s="5">
        <f>VLOOKUP(Sheet1!$M$25,Sheet2!$A$4:$J$31,10,FALSE)</f>
        <v>0.13</v>
      </c>
      <c r="O33" s="41">
        <v>0.2</v>
      </c>
      <c r="P33" s="42">
        <v>11.85</v>
      </c>
      <c r="R33" s="37"/>
    </row>
    <row r="34" spans="1:18" x14ac:dyDescent="0.2">
      <c r="A34" s="18"/>
      <c r="B34" s="19"/>
      <c r="C34" s="19"/>
      <c r="D34" s="19"/>
      <c r="E34" s="47"/>
      <c r="F34" s="19"/>
      <c r="G34" s="19"/>
      <c r="H34" s="19"/>
      <c r="I34" s="48"/>
      <c r="K34" s="17"/>
      <c r="L34" s="6"/>
      <c r="M34" s="5"/>
      <c r="O34" s="41">
        <v>0.1</v>
      </c>
      <c r="P34" s="42">
        <v>11.75</v>
      </c>
      <c r="R34" s="37"/>
    </row>
    <row r="35" spans="1:18" x14ac:dyDescent="0.2">
      <c r="A35" s="23" t="s">
        <v>120</v>
      </c>
      <c r="B35" s="19"/>
      <c r="C35" s="19"/>
      <c r="D35" s="19"/>
      <c r="E35" s="46">
        <f>SUM(E27:E33)+(B26*D26*M33)</f>
        <v>0</v>
      </c>
      <c r="F35" s="11"/>
      <c r="G35" s="11"/>
      <c r="H35" s="11"/>
      <c r="I35" s="49">
        <f>SUM(I27:I33)+(F26*H26*M33*0.8)</f>
        <v>0</v>
      </c>
      <c r="K35" s="17"/>
      <c r="L35" s="6"/>
      <c r="M35" s="5"/>
      <c r="O35" s="41">
        <v>0</v>
      </c>
      <c r="P35" s="42">
        <v>11.65</v>
      </c>
      <c r="R35" s="37"/>
    </row>
    <row r="36" spans="1:18" ht="12" thickBot="1" x14ac:dyDescent="0.25">
      <c r="A36" s="8" t="s">
        <v>121</v>
      </c>
      <c r="B36" s="9"/>
      <c r="C36" s="9"/>
      <c r="D36" s="9"/>
      <c r="E36" s="50">
        <f>SUM(E27:E33)+(D26*B26*M32)</f>
        <v>0</v>
      </c>
      <c r="F36" s="24"/>
      <c r="G36" s="24"/>
      <c r="H36" s="24"/>
      <c r="I36" s="51">
        <f>SUM(I27:I33)+(F26*H26*M32*0.8)</f>
        <v>0</v>
      </c>
      <c r="K36" s="8"/>
      <c r="L36" s="9"/>
      <c r="M36" s="10"/>
      <c r="O36" s="8"/>
      <c r="P36" s="10"/>
      <c r="R36" s="37"/>
    </row>
    <row r="37" spans="1:18" x14ac:dyDescent="0.2">
      <c r="R37" s="37"/>
    </row>
    <row r="38" spans="1:18" x14ac:dyDescent="0.2">
      <c r="R38" s="37"/>
    </row>
    <row r="39" spans="1:18" x14ac:dyDescent="0.2">
      <c r="A39" t="s">
        <v>127</v>
      </c>
      <c r="B39" s="38">
        <v>0</v>
      </c>
      <c r="C39" s="38">
        <v>1</v>
      </c>
      <c r="D39" s="38">
        <v>2</v>
      </c>
      <c r="E39" s="38">
        <v>3</v>
      </c>
      <c r="F39" s="38">
        <v>4</v>
      </c>
      <c r="G39" s="38">
        <v>5</v>
      </c>
      <c r="H39" s="38">
        <v>6</v>
      </c>
      <c r="I39" s="38">
        <v>7</v>
      </c>
      <c r="J39" s="38">
        <v>8</v>
      </c>
      <c r="K39" s="38">
        <v>9</v>
      </c>
      <c r="L39" s="38">
        <v>10</v>
      </c>
      <c r="M39" s="38">
        <v>11</v>
      </c>
      <c r="N39" s="38">
        <v>12</v>
      </c>
      <c r="O39" s="38">
        <v>13</v>
      </c>
      <c r="P39" s="38">
        <v>14</v>
      </c>
      <c r="R39" s="37"/>
    </row>
    <row r="40" spans="1:18" x14ac:dyDescent="0.2">
      <c r="A40" t="s">
        <v>165</v>
      </c>
      <c r="B40" s="39">
        <v>0</v>
      </c>
      <c r="C40" s="39">
        <v>0</v>
      </c>
      <c r="D40" s="39">
        <v>0</v>
      </c>
      <c r="E40" s="39">
        <v>0</v>
      </c>
      <c r="F40" s="39">
        <v>0</v>
      </c>
      <c r="G40" s="39">
        <v>0</v>
      </c>
      <c r="H40" s="39">
        <v>0</v>
      </c>
      <c r="I40" s="39">
        <v>0</v>
      </c>
      <c r="J40" s="39">
        <v>0</v>
      </c>
      <c r="K40" s="39">
        <v>0</v>
      </c>
      <c r="L40" s="39">
        <v>0</v>
      </c>
      <c r="M40" s="39">
        <v>0</v>
      </c>
      <c r="N40" s="39">
        <v>0</v>
      </c>
      <c r="O40" s="39">
        <v>0</v>
      </c>
      <c r="P40" s="39">
        <v>0</v>
      </c>
      <c r="R40" s="37"/>
    </row>
    <row r="41" spans="1:18" x14ac:dyDescent="0.2">
      <c r="A41" t="s">
        <v>166</v>
      </c>
      <c r="B41" s="39">
        <v>0</v>
      </c>
      <c r="C41" s="39">
        <v>0</v>
      </c>
      <c r="D41" s="39">
        <v>0</v>
      </c>
      <c r="E41" s="39">
        <v>0</v>
      </c>
      <c r="F41" s="39">
        <v>0</v>
      </c>
      <c r="G41" s="39">
        <v>0</v>
      </c>
      <c r="H41" s="39">
        <v>0</v>
      </c>
      <c r="I41" s="39">
        <v>0</v>
      </c>
      <c r="J41" s="39">
        <v>0</v>
      </c>
      <c r="K41" s="39">
        <v>0</v>
      </c>
      <c r="L41" s="39">
        <v>0</v>
      </c>
      <c r="M41" s="39">
        <v>0</v>
      </c>
      <c r="N41" s="39">
        <v>0</v>
      </c>
      <c r="O41" s="39">
        <v>0</v>
      </c>
      <c r="P41" s="39">
        <v>0</v>
      </c>
      <c r="R41" s="37"/>
    </row>
    <row r="42" spans="1:18" x14ac:dyDescent="0.2"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R42" s="37"/>
    </row>
    <row r="43" spans="1:18" x14ac:dyDescent="0.2"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R43" s="37"/>
    </row>
    <row r="44" spans="1:18" x14ac:dyDescent="0.2">
      <c r="A44" t="s">
        <v>167</v>
      </c>
      <c r="B44" s="25">
        <f>B40*B41*0.85</f>
        <v>0</v>
      </c>
      <c r="C44" s="25">
        <f t="shared" ref="C44:P44" si="6">C40*C41*0.85</f>
        <v>0</v>
      </c>
      <c r="D44" s="25">
        <f t="shared" si="6"/>
        <v>0</v>
      </c>
      <c r="E44" s="25">
        <f t="shared" si="6"/>
        <v>0</v>
      </c>
      <c r="F44" s="25">
        <f t="shared" si="6"/>
        <v>0</v>
      </c>
      <c r="G44" s="25">
        <f t="shared" si="6"/>
        <v>0</v>
      </c>
      <c r="H44" s="25">
        <f t="shared" si="6"/>
        <v>0</v>
      </c>
      <c r="I44" s="25">
        <f t="shared" si="6"/>
        <v>0</v>
      </c>
      <c r="J44" s="25">
        <f t="shared" si="6"/>
        <v>0</v>
      </c>
      <c r="K44" s="25">
        <f t="shared" si="6"/>
        <v>0</v>
      </c>
      <c r="L44" s="25">
        <f t="shared" si="6"/>
        <v>0</v>
      </c>
      <c r="M44" s="25">
        <f t="shared" si="6"/>
        <v>0</v>
      </c>
      <c r="N44" s="25">
        <f t="shared" si="6"/>
        <v>0</v>
      </c>
      <c r="O44" s="25">
        <f t="shared" si="6"/>
        <v>0</v>
      </c>
      <c r="P44" s="25">
        <f t="shared" si="6"/>
        <v>0</v>
      </c>
      <c r="R44" s="37"/>
    </row>
    <row r="45" spans="1:18" x14ac:dyDescent="0.2">
      <c r="A45" t="s">
        <v>110</v>
      </c>
      <c r="B45">
        <f t="shared" ref="B45:P45" si="7">$M$30</f>
        <v>7.18</v>
      </c>
      <c r="C45">
        <f t="shared" si="7"/>
        <v>7.18</v>
      </c>
      <c r="D45">
        <f t="shared" si="7"/>
        <v>7.18</v>
      </c>
      <c r="E45">
        <f t="shared" si="7"/>
        <v>7.18</v>
      </c>
      <c r="F45">
        <f t="shared" si="7"/>
        <v>7.18</v>
      </c>
      <c r="G45">
        <f t="shared" si="7"/>
        <v>7.18</v>
      </c>
      <c r="H45">
        <f t="shared" si="7"/>
        <v>7.18</v>
      </c>
      <c r="I45">
        <f t="shared" si="7"/>
        <v>7.18</v>
      </c>
      <c r="J45">
        <f t="shared" si="7"/>
        <v>7.18</v>
      </c>
      <c r="K45">
        <f t="shared" si="7"/>
        <v>7.18</v>
      </c>
      <c r="L45">
        <f t="shared" si="7"/>
        <v>7.18</v>
      </c>
      <c r="M45">
        <f t="shared" si="7"/>
        <v>7.18</v>
      </c>
      <c r="N45">
        <f t="shared" si="7"/>
        <v>7.18</v>
      </c>
      <c r="O45">
        <f t="shared" si="7"/>
        <v>7.18</v>
      </c>
      <c r="P45">
        <f t="shared" si="7"/>
        <v>7.18</v>
      </c>
      <c r="R45" s="37"/>
    </row>
    <row r="46" spans="1:18" x14ac:dyDescent="0.2">
      <c r="A46" t="s">
        <v>111</v>
      </c>
      <c r="B46">
        <f t="shared" ref="B46:P46" si="8">$M$31</f>
        <v>3.58</v>
      </c>
      <c r="C46">
        <f t="shared" si="8"/>
        <v>3.58</v>
      </c>
      <c r="D46">
        <f t="shared" si="8"/>
        <v>3.58</v>
      </c>
      <c r="E46">
        <f t="shared" si="8"/>
        <v>3.58</v>
      </c>
      <c r="F46">
        <f t="shared" si="8"/>
        <v>3.58</v>
      </c>
      <c r="G46">
        <f t="shared" si="8"/>
        <v>3.58</v>
      </c>
      <c r="H46">
        <f t="shared" si="8"/>
        <v>3.58</v>
      </c>
      <c r="I46">
        <f t="shared" si="8"/>
        <v>3.58</v>
      </c>
      <c r="J46">
        <f t="shared" si="8"/>
        <v>3.58</v>
      </c>
      <c r="K46">
        <f t="shared" si="8"/>
        <v>3.58</v>
      </c>
      <c r="L46">
        <f t="shared" si="8"/>
        <v>3.58</v>
      </c>
      <c r="M46">
        <f t="shared" si="8"/>
        <v>3.58</v>
      </c>
      <c r="N46">
        <f t="shared" si="8"/>
        <v>3.58</v>
      </c>
      <c r="O46">
        <f t="shared" si="8"/>
        <v>3.58</v>
      </c>
      <c r="P46">
        <f t="shared" si="8"/>
        <v>3.58</v>
      </c>
      <c r="R46" s="37"/>
    </row>
    <row r="47" spans="1:18" x14ac:dyDescent="0.2">
      <c r="A47" t="s">
        <v>112</v>
      </c>
      <c r="B47">
        <f t="shared" ref="B47:P47" si="9">($J$9*B45*$Q$13)-$E$36-$I$36+B44</f>
        <v>35.532908413496045</v>
      </c>
      <c r="C47">
        <f t="shared" si="9"/>
        <v>35.532908413496045</v>
      </c>
      <c r="D47">
        <f t="shared" si="9"/>
        <v>35.532908413496045</v>
      </c>
      <c r="E47">
        <f t="shared" si="9"/>
        <v>35.532908413496045</v>
      </c>
      <c r="F47">
        <f t="shared" si="9"/>
        <v>35.532908413496045</v>
      </c>
      <c r="G47">
        <f t="shared" si="9"/>
        <v>35.532908413496045</v>
      </c>
      <c r="H47">
        <f t="shared" si="9"/>
        <v>35.532908413496045</v>
      </c>
      <c r="I47">
        <f t="shared" si="9"/>
        <v>35.532908413496045</v>
      </c>
      <c r="J47">
        <f t="shared" si="9"/>
        <v>35.532908413496045</v>
      </c>
      <c r="K47">
        <f t="shared" si="9"/>
        <v>35.532908413496045</v>
      </c>
      <c r="L47">
        <f t="shared" si="9"/>
        <v>35.532908413496045</v>
      </c>
      <c r="M47">
        <f t="shared" si="9"/>
        <v>35.532908413496045</v>
      </c>
      <c r="N47">
        <f t="shared" si="9"/>
        <v>35.532908413496045</v>
      </c>
      <c r="O47">
        <f t="shared" si="9"/>
        <v>35.532908413496045</v>
      </c>
      <c r="P47">
        <f t="shared" si="9"/>
        <v>35.532908413496045</v>
      </c>
      <c r="R47" s="37"/>
    </row>
    <row r="48" spans="1:18" x14ac:dyDescent="0.2">
      <c r="A48" t="s">
        <v>113</v>
      </c>
      <c r="B48">
        <f t="shared" ref="B48:P48" si="10">($J$9*B46*$Q$13)-$E$35-$I$35+B44</f>
        <v>17.716965476367111</v>
      </c>
      <c r="C48">
        <f t="shared" si="10"/>
        <v>17.716965476367111</v>
      </c>
      <c r="D48">
        <f t="shared" si="10"/>
        <v>17.716965476367111</v>
      </c>
      <c r="E48">
        <f t="shared" si="10"/>
        <v>17.716965476367111</v>
      </c>
      <c r="F48">
        <f t="shared" si="10"/>
        <v>17.716965476367111</v>
      </c>
      <c r="G48">
        <f t="shared" si="10"/>
        <v>17.716965476367111</v>
      </c>
      <c r="H48">
        <f t="shared" si="10"/>
        <v>17.716965476367111</v>
      </c>
      <c r="I48">
        <f t="shared" si="10"/>
        <v>17.716965476367111</v>
      </c>
      <c r="J48">
        <f t="shared" si="10"/>
        <v>17.716965476367111</v>
      </c>
      <c r="K48">
        <f t="shared" si="10"/>
        <v>17.716965476367111</v>
      </c>
      <c r="L48">
        <f t="shared" si="10"/>
        <v>17.716965476367111</v>
      </c>
      <c r="M48">
        <f t="shared" si="10"/>
        <v>17.716965476367111</v>
      </c>
      <c r="N48">
        <f t="shared" si="10"/>
        <v>17.716965476367111</v>
      </c>
      <c r="O48">
        <f t="shared" si="10"/>
        <v>17.716965476367111</v>
      </c>
      <c r="P48">
        <f t="shared" si="10"/>
        <v>17.716965476367111</v>
      </c>
      <c r="R48" s="37"/>
    </row>
    <row r="49" spans="1:18" x14ac:dyDescent="0.2">
      <c r="A49" t="s">
        <v>125</v>
      </c>
      <c r="B49">
        <f>Q7*(Q10/100)</f>
        <v>90</v>
      </c>
      <c r="C49">
        <f t="shared" ref="C49:P49" si="11">IF((B49+C47)&lt;=$Q$7,B49+C47,$Q$7)</f>
        <v>100</v>
      </c>
      <c r="D49">
        <f t="shared" si="11"/>
        <v>100</v>
      </c>
      <c r="E49">
        <f t="shared" si="11"/>
        <v>100</v>
      </c>
      <c r="F49">
        <f t="shared" si="11"/>
        <v>100</v>
      </c>
      <c r="G49">
        <f t="shared" si="11"/>
        <v>100</v>
      </c>
      <c r="H49">
        <f t="shared" si="11"/>
        <v>100</v>
      </c>
      <c r="I49">
        <f t="shared" si="11"/>
        <v>100</v>
      </c>
      <c r="J49">
        <f t="shared" si="11"/>
        <v>100</v>
      </c>
      <c r="K49">
        <f t="shared" si="11"/>
        <v>100</v>
      </c>
      <c r="L49">
        <f t="shared" si="11"/>
        <v>100</v>
      </c>
      <c r="M49">
        <f t="shared" si="11"/>
        <v>100</v>
      </c>
      <c r="N49">
        <f t="shared" si="11"/>
        <v>100</v>
      </c>
      <c r="O49">
        <f t="shared" si="11"/>
        <v>100</v>
      </c>
      <c r="P49">
        <f t="shared" si="11"/>
        <v>100</v>
      </c>
      <c r="R49" s="37"/>
    </row>
    <row r="50" spans="1:18" x14ac:dyDescent="0.2">
      <c r="A50" t="s">
        <v>126</v>
      </c>
      <c r="B50">
        <f>Q7*(Q10/100)</f>
        <v>90</v>
      </c>
      <c r="C50">
        <f t="shared" ref="C50:P50" si="12">IF((B50+C48)&lt;=$Q$7,B50+C48,$Q$7)</f>
        <v>100</v>
      </c>
      <c r="D50">
        <f t="shared" si="12"/>
        <v>100</v>
      </c>
      <c r="E50">
        <f t="shared" si="12"/>
        <v>100</v>
      </c>
      <c r="F50">
        <f t="shared" si="12"/>
        <v>100</v>
      </c>
      <c r="G50">
        <f t="shared" si="12"/>
        <v>100</v>
      </c>
      <c r="H50">
        <f t="shared" si="12"/>
        <v>100</v>
      </c>
      <c r="I50">
        <f t="shared" si="12"/>
        <v>100</v>
      </c>
      <c r="J50">
        <f t="shared" si="12"/>
        <v>100</v>
      </c>
      <c r="K50">
        <f t="shared" si="12"/>
        <v>100</v>
      </c>
      <c r="L50">
        <f t="shared" si="12"/>
        <v>100</v>
      </c>
      <c r="M50">
        <f t="shared" si="12"/>
        <v>100</v>
      </c>
      <c r="N50">
        <f t="shared" si="12"/>
        <v>100</v>
      </c>
      <c r="O50">
        <f t="shared" si="12"/>
        <v>100</v>
      </c>
      <c r="P50">
        <f t="shared" si="12"/>
        <v>100</v>
      </c>
      <c r="R50" s="37"/>
    </row>
    <row r="51" spans="1:18" x14ac:dyDescent="0.2">
      <c r="A51" s="25" t="s">
        <v>123</v>
      </c>
      <c r="B51">
        <f>Q10</f>
        <v>90</v>
      </c>
      <c r="C51">
        <f>IF((C49/$Q$7)*100&lt;0,0,(C49/$Q$7)*100)</f>
        <v>100</v>
      </c>
      <c r="D51">
        <f t="shared" ref="D51:P51" si="13">IF((D49/$Q$7)*100&lt;0,0,(D49/$Q$7)*100)</f>
        <v>100</v>
      </c>
      <c r="E51">
        <f t="shared" si="13"/>
        <v>100</v>
      </c>
      <c r="F51">
        <f t="shared" si="13"/>
        <v>100</v>
      </c>
      <c r="G51">
        <f t="shared" si="13"/>
        <v>100</v>
      </c>
      <c r="H51">
        <f t="shared" si="13"/>
        <v>100</v>
      </c>
      <c r="I51">
        <f t="shared" si="13"/>
        <v>100</v>
      </c>
      <c r="J51">
        <f t="shared" si="13"/>
        <v>100</v>
      </c>
      <c r="K51">
        <f t="shared" si="13"/>
        <v>100</v>
      </c>
      <c r="L51">
        <f t="shared" si="13"/>
        <v>100</v>
      </c>
      <c r="M51">
        <f t="shared" si="13"/>
        <v>100</v>
      </c>
      <c r="N51">
        <f t="shared" si="13"/>
        <v>100</v>
      </c>
      <c r="O51">
        <f t="shared" si="13"/>
        <v>100</v>
      </c>
      <c r="P51">
        <f t="shared" si="13"/>
        <v>100</v>
      </c>
      <c r="R51" s="37"/>
    </row>
    <row r="52" spans="1:18" x14ac:dyDescent="0.2">
      <c r="A52" s="25" t="s">
        <v>124</v>
      </c>
      <c r="B52">
        <f>Q10</f>
        <v>90</v>
      </c>
      <c r="C52">
        <f>IF((C50/$Q$7)*100&lt;0,0,(C50/$Q$7)*100)</f>
        <v>100</v>
      </c>
      <c r="D52">
        <f t="shared" ref="D52:P52" si="14">IF((D50/$Q$7)*100&lt;0,0,(D50/$Q$7)*100)</f>
        <v>100</v>
      </c>
      <c r="E52">
        <f t="shared" si="14"/>
        <v>100</v>
      </c>
      <c r="F52">
        <f t="shared" si="14"/>
        <v>100</v>
      </c>
      <c r="G52">
        <f t="shared" si="14"/>
        <v>100</v>
      </c>
      <c r="H52">
        <f t="shared" si="14"/>
        <v>100</v>
      </c>
      <c r="I52">
        <f t="shared" si="14"/>
        <v>100</v>
      </c>
      <c r="J52">
        <f t="shared" si="14"/>
        <v>100</v>
      </c>
      <c r="K52">
        <f t="shared" si="14"/>
        <v>100</v>
      </c>
      <c r="L52">
        <f t="shared" si="14"/>
        <v>100</v>
      </c>
      <c r="M52">
        <f t="shared" si="14"/>
        <v>100</v>
      </c>
      <c r="N52">
        <f t="shared" si="14"/>
        <v>100</v>
      </c>
      <c r="O52">
        <f t="shared" si="14"/>
        <v>100</v>
      </c>
      <c r="P52">
        <f t="shared" si="14"/>
        <v>100</v>
      </c>
      <c r="R52" s="37"/>
    </row>
    <row r="53" spans="1:18" x14ac:dyDescent="0.2">
      <c r="A53" t="s">
        <v>10</v>
      </c>
      <c r="B53">
        <f t="shared" ref="B53:P53" si="15">$Q$11</f>
        <v>40</v>
      </c>
      <c r="C53">
        <f t="shared" si="15"/>
        <v>40</v>
      </c>
      <c r="D53">
        <f t="shared" si="15"/>
        <v>40</v>
      </c>
      <c r="E53">
        <f t="shared" si="15"/>
        <v>40</v>
      </c>
      <c r="F53">
        <f t="shared" si="15"/>
        <v>40</v>
      </c>
      <c r="G53">
        <f t="shared" si="15"/>
        <v>40</v>
      </c>
      <c r="H53">
        <f t="shared" si="15"/>
        <v>40</v>
      </c>
      <c r="I53">
        <f t="shared" si="15"/>
        <v>40</v>
      </c>
      <c r="J53">
        <f t="shared" si="15"/>
        <v>40</v>
      </c>
      <c r="K53">
        <f t="shared" si="15"/>
        <v>40</v>
      </c>
      <c r="L53">
        <f t="shared" si="15"/>
        <v>40</v>
      </c>
      <c r="M53">
        <f t="shared" si="15"/>
        <v>40</v>
      </c>
      <c r="N53">
        <f t="shared" si="15"/>
        <v>40</v>
      </c>
      <c r="O53">
        <f t="shared" si="15"/>
        <v>40</v>
      </c>
      <c r="P53">
        <f t="shared" si="15"/>
        <v>40</v>
      </c>
      <c r="R53" s="37"/>
    </row>
    <row r="54" spans="1:18" x14ac:dyDescent="0.2">
      <c r="R54" s="37"/>
    </row>
    <row r="55" spans="1:18" x14ac:dyDescent="0.2">
      <c r="R55" s="37"/>
    </row>
    <row r="56" spans="1:18" x14ac:dyDescent="0.2">
      <c r="R56" s="37"/>
    </row>
    <row r="57" spans="1:18" x14ac:dyDescent="0.2">
      <c r="R57" s="37"/>
    </row>
    <row r="58" spans="1:18" x14ac:dyDescent="0.2">
      <c r="R58" s="37"/>
    </row>
    <row r="59" spans="1:18" x14ac:dyDescent="0.2">
      <c r="R59" s="37"/>
    </row>
    <row r="60" spans="1:18" x14ac:dyDescent="0.2">
      <c r="R60" s="37"/>
    </row>
    <row r="61" spans="1:18" x14ac:dyDescent="0.2">
      <c r="R61" s="37"/>
    </row>
    <row r="62" spans="1:18" x14ac:dyDescent="0.2">
      <c r="R62" s="37"/>
    </row>
    <row r="63" spans="1:18" x14ac:dyDescent="0.2">
      <c r="R63" s="37"/>
    </row>
    <row r="64" spans="1:18" x14ac:dyDescent="0.2">
      <c r="R64" s="37"/>
    </row>
    <row r="65" spans="18:18" x14ac:dyDescent="0.2">
      <c r="R65" s="37"/>
    </row>
    <row r="66" spans="18:18" x14ac:dyDescent="0.2">
      <c r="R66" s="37"/>
    </row>
    <row r="67" spans="18:18" x14ac:dyDescent="0.2">
      <c r="R67" s="37"/>
    </row>
    <row r="68" spans="18:18" x14ac:dyDescent="0.2">
      <c r="R68" s="37"/>
    </row>
    <row r="69" spans="18:18" x14ac:dyDescent="0.2">
      <c r="R69" s="37"/>
    </row>
    <row r="70" spans="18:18" x14ac:dyDescent="0.2">
      <c r="R70" s="37"/>
    </row>
    <row r="71" spans="18:18" x14ac:dyDescent="0.2">
      <c r="R71" s="37"/>
    </row>
    <row r="72" spans="18:18" x14ac:dyDescent="0.2">
      <c r="R72" s="37"/>
    </row>
    <row r="73" spans="18:18" x14ac:dyDescent="0.2">
      <c r="R73" s="37"/>
    </row>
    <row r="74" spans="18:18" x14ac:dyDescent="0.2">
      <c r="R74" s="37"/>
    </row>
    <row r="75" spans="18:18" x14ac:dyDescent="0.2">
      <c r="R75" s="37"/>
    </row>
    <row r="76" spans="18:18" x14ac:dyDescent="0.2">
      <c r="R76" s="37"/>
    </row>
    <row r="77" spans="18:18" x14ac:dyDescent="0.2">
      <c r="R77" s="37"/>
    </row>
    <row r="78" spans="18:18" x14ac:dyDescent="0.2">
      <c r="R78" s="37"/>
    </row>
    <row r="79" spans="18:18" x14ac:dyDescent="0.2">
      <c r="R79" s="37"/>
    </row>
  </sheetData>
  <dataConsolidate/>
  <mergeCells count="1">
    <mergeCell ref="J17:L17"/>
  </mergeCells>
  <conditionalFormatting sqref="M10:M12 F13:F14 F10">
    <cfRule type="cellIs" dxfId="1" priority="4" operator="greaterThan">
      <formula>3</formula>
    </cfRule>
  </conditionalFormatting>
  <conditionalFormatting sqref="M10:M12">
    <cfRule type="cellIs" dxfId="0" priority="3" operator="greaterThan">
      <formula>3</formula>
    </cfRule>
  </conditionalFormatting>
  <conditionalFormatting sqref="P25:P35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25:O3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Sheet2!$A$4:$A$31</xm:f>
          </x14:formula1>
          <xm:sqref>M25</xm:sqref>
        </x14:dataValidation>
        <x14:dataValidation type="list" allowBlank="1" showInputMessage="1" showErrorMessage="1">
          <x14:formula1>
            <xm:f>Sheet2!$L$4:$L$6</xm:f>
          </x14:formula1>
          <xm:sqref>J7</xm:sqref>
        </x14:dataValidation>
        <x14:dataValidation type="list" allowBlank="1" showInputMessage="1" showErrorMessage="1">
          <x14:formula1>
            <xm:f>Sheet2!$L$8:$L$11</xm:f>
          </x14:formula1>
          <xm:sqref>J17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05"/>
  <sheetViews>
    <sheetView workbookViewId="0">
      <selection activeCell="M14" sqref="M14"/>
    </sheetView>
  </sheetViews>
  <sheetFormatPr defaultRowHeight="11.25" x14ac:dyDescent="0.2"/>
  <cols>
    <col min="1" max="1" width="24.33203125" bestFit="1" customWidth="1"/>
    <col min="2" max="8" width="9.33203125" style="1"/>
    <col min="12" max="12" width="24" bestFit="1" customWidth="1"/>
    <col min="13" max="13" width="8.6640625" customWidth="1"/>
  </cols>
  <sheetData>
    <row r="3" spans="1:14" ht="33.75" x14ac:dyDescent="0.2">
      <c r="A3" t="s">
        <v>11</v>
      </c>
      <c r="B3" s="1" t="s">
        <v>12</v>
      </c>
      <c r="C3" s="1" t="s">
        <v>13</v>
      </c>
      <c r="D3" s="1" t="s">
        <v>14</v>
      </c>
      <c r="E3" s="1" t="s">
        <v>77</v>
      </c>
      <c r="F3" s="1" t="s">
        <v>76</v>
      </c>
      <c r="G3" s="15" t="s">
        <v>115</v>
      </c>
      <c r="H3" s="15" t="s">
        <v>116</v>
      </c>
    </row>
    <row r="4" spans="1:14" x14ac:dyDescent="0.2">
      <c r="A4" t="s">
        <v>78</v>
      </c>
      <c r="B4" s="1" t="s">
        <v>15</v>
      </c>
      <c r="C4" s="1" t="s">
        <v>16</v>
      </c>
      <c r="D4" s="1" t="s">
        <v>17</v>
      </c>
      <c r="E4" s="1">
        <v>5.03</v>
      </c>
      <c r="F4" s="1">
        <v>7.22</v>
      </c>
      <c r="G4" s="1">
        <v>33</v>
      </c>
      <c r="H4" s="1">
        <v>30</v>
      </c>
      <c r="I4">
        <f t="shared" ref="I4:I31" si="0">(G4+10)/100</f>
        <v>0.43</v>
      </c>
      <c r="J4">
        <f t="shared" ref="J4:J31" si="1">(H4+10)/100</f>
        <v>0.4</v>
      </c>
      <c r="L4" s="25" t="s">
        <v>148</v>
      </c>
      <c r="M4">
        <v>1</v>
      </c>
    </row>
    <row r="5" spans="1:14" x14ac:dyDescent="0.2">
      <c r="A5" t="s">
        <v>79</v>
      </c>
      <c r="B5" s="1" t="s">
        <v>18</v>
      </c>
      <c r="C5" s="1" t="s">
        <v>19</v>
      </c>
      <c r="D5" s="1" t="s">
        <v>17</v>
      </c>
      <c r="E5" s="1">
        <v>6.14</v>
      </c>
      <c r="F5" s="1">
        <v>4.3899999999999997</v>
      </c>
      <c r="G5" s="1">
        <v>30</v>
      </c>
      <c r="H5" s="1">
        <v>21</v>
      </c>
      <c r="I5">
        <f t="shared" si="0"/>
        <v>0.4</v>
      </c>
      <c r="J5">
        <f t="shared" si="1"/>
        <v>0.31</v>
      </c>
      <c r="L5" s="25" t="s">
        <v>149</v>
      </c>
    </row>
    <row r="6" spans="1:14" x14ac:dyDescent="0.2">
      <c r="A6" t="s">
        <v>80</v>
      </c>
      <c r="B6" s="1" t="s">
        <v>20</v>
      </c>
      <c r="C6" s="1" t="s">
        <v>21</v>
      </c>
      <c r="D6" s="1" t="s">
        <v>22</v>
      </c>
      <c r="E6" s="1">
        <v>5.99</v>
      </c>
      <c r="F6" s="1">
        <v>7.3</v>
      </c>
      <c r="G6" s="1">
        <v>36</v>
      </c>
      <c r="H6" s="1">
        <v>21</v>
      </c>
      <c r="I6">
        <f t="shared" si="0"/>
        <v>0.46</v>
      </c>
      <c r="J6">
        <f t="shared" si="1"/>
        <v>0.31</v>
      </c>
      <c r="L6" s="25" t="s">
        <v>150</v>
      </c>
    </row>
    <row r="7" spans="1:14" x14ac:dyDescent="0.2">
      <c r="A7" t="s">
        <v>81</v>
      </c>
      <c r="B7" s="1" t="s">
        <v>23</v>
      </c>
      <c r="C7" s="1" t="s">
        <v>24</v>
      </c>
      <c r="D7" s="1" t="s">
        <v>22</v>
      </c>
      <c r="E7" s="1">
        <v>6.47</v>
      </c>
      <c r="F7" s="1">
        <v>4.9400000000000004</v>
      </c>
      <c r="G7" s="1">
        <v>33</v>
      </c>
      <c r="H7" s="1">
        <v>21</v>
      </c>
      <c r="I7">
        <f t="shared" si="0"/>
        <v>0.43</v>
      </c>
      <c r="J7">
        <f t="shared" si="1"/>
        <v>0.31</v>
      </c>
    </row>
    <row r="8" spans="1:14" x14ac:dyDescent="0.2">
      <c r="A8" t="s">
        <v>82</v>
      </c>
      <c r="B8" s="1" t="s">
        <v>25</v>
      </c>
      <c r="C8" s="1" t="s">
        <v>26</v>
      </c>
      <c r="D8" s="1" t="s">
        <v>22</v>
      </c>
      <c r="E8" s="1">
        <v>7.03</v>
      </c>
      <c r="F8" s="1">
        <v>5.64</v>
      </c>
      <c r="G8" s="1">
        <v>36</v>
      </c>
      <c r="H8" s="1">
        <v>18</v>
      </c>
      <c r="I8">
        <f t="shared" si="0"/>
        <v>0.46</v>
      </c>
      <c r="J8">
        <f t="shared" si="1"/>
        <v>0.28000000000000003</v>
      </c>
      <c r="L8" s="25" t="s">
        <v>152</v>
      </c>
      <c r="N8">
        <v>1.4</v>
      </c>
    </row>
    <row r="9" spans="1:14" x14ac:dyDescent="0.2">
      <c r="A9" t="s">
        <v>83</v>
      </c>
      <c r="B9" s="1" t="s">
        <v>27</v>
      </c>
      <c r="C9" s="1" t="s">
        <v>28</v>
      </c>
      <c r="D9" s="1" t="s">
        <v>22</v>
      </c>
      <c r="E9" s="1">
        <v>7.61</v>
      </c>
      <c r="F9" s="1">
        <v>5.72</v>
      </c>
      <c r="G9" s="1">
        <v>36</v>
      </c>
      <c r="H9" s="1">
        <v>21</v>
      </c>
      <c r="I9">
        <f t="shared" si="0"/>
        <v>0.46</v>
      </c>
      <c r="J9">
        <f t="shared" si="1"/>
        <v>0.31</v>
      </c>
      <c r="L9" s="25" t="s">
        <v>153</v>
      </c>
      <c r="N9">
        <v>1.1000000000000001</v>
      </c>
    </row>
    <row r="10" spans="1:14" x14ac:dyDescent="0.2">
      <c r="A10" t="s">
        <v>84</v>
      </c>
      <c r="B10" s="1" t="s">
        <v>29</v>
      </c>
      <c r="C10" s="1" t="s">
        <v>30</v>
      </c>
      <c r="D10" s="1" t="s">
        <v>31</v>
      </c>
      <c r="E10" s="1">
        <v>6.28</v>
      </c>
      <c r="F10" s="1">
        <v>5.36</v>
      </c>
      <c r="G10" s="1">
        <v>27</v>
      </c>
      <c r="H10" s="1">
        <v>15</v>
      </c>
      <c r="I10">
        <f t="shared" si="0"/>
        <v>0.37</v>
      </c>
      <c r="J10">
        <f t="shared" si="1"/>
        <v>0.25</v>
      </c>
      <c r="L10" s="25" t="s">
        <v>154</v>
      </c>
      <c r="N10">
        <v>1.2</v>
      </c>
    </row>
    <row r="11" spans="1:14" x14ac:dyDescent="0.2">
      <c r="A11" t="s">
        <v>85</v>
      </c>
      <c r="B11" s="1" t="s">
        <v>32</v>
      </c>
      <c r="C11" s="1" t="s">
        <v>33</v>
      </c>
      <c r="D11" s="1" t="s">
        <v>31</v>
      </c>
      <c r="E11" s="1">
        <v>7.25</v>
      </c>
      <c r="F11" s="1">
        <v>6.17</v>
      </c>
      <c r="G11" s="1">
        <v>33</v>
      </c>
      <c r="H11" s="1">
        <v>15</v>
      </c>
      <c r="I11">
        <f t="shared" si="0"/>
        <v>0.43</v>
      </c>
      <c r="J11">
        <f t="shared" si="1"/>
        <v>0.25</v>
      </c>
    </row>
    <row r="12" spans="1:14" x14ac:dyDescent="0.2">
      <c r="A12" t="s">
        <v>86</v>
      </c>
      <c r="B12" s="1" t="s">
        <v>34</v>
      </c>
      <c r="C12" s="1" t="s">
        <v>35</v>
      </c>
      <c r="D12" s="1" t="s">
        <v>31</v>
      </c>
      <c r="E12" s="1">
        <v>7.39</v>
      </c>
      <c r="F12" s="1">
        <v>6.22</v>
      </c>
      <c r="G12" s="1">
        <v>33</v>
      </c>
      <c r="H12" s="1">
        <v>12</v>
      </c>
      <c r="I12">
        <f t="shared" si="0"/>
        <v>0.43</v>
      </c>
      <c r="J12">
        <f t="shared" si="1"/>
        <v>0.22</v>
      </c>
      <c r="L12" t="s">
        <v>171</v>
      </c>
      <c r="M12">
        <f>IF(Sheet1!B11&gt;0,Sheet1!B11,Sheet1!B9*0.85)</f>
        <v>17.510000000000002</v>
      </c>
    </row>
    <row r="13" spans="1:14" x14ac:dyDescent="0.2">
      <c r="A13" t="s">
        <v>87</v>
      </c>
      <c r="B13" s="1" t="s">
        <v>36</v>
      </c>
      <c r="C13" s="1" t="s">
        <v>37</v>
      </c>
      <c r="D13" s="1" t="s">
        <v>31</v>
      </c>
      <c r="E13" s="1">
        <v>6.22</v>
      </c>
      <c r="F13" s="1">
        <v>4.5</v>
      </c>
      <c r="G13" s="1">
        <v>30</v>
      </c>
      <c r="H13" s="1">
        <v>12</v>
      </c>
      <c r="I13">
        <f t="shared" si="0"/>
        <v>0.4</v>
      </c>
      <c r="J13">
        <f t="shared" si="1"/>
        <v>0.22</v>
      </c>
      <c r="L13" t="s">
        <v>172</v>
      </c>
      <c r="M13">
        <f>IF(Sheet1!B10&gt;0,Sheet1!B10,Sheet1!B8*0.85)</f>
        <v>4.9980000000000002</v>
      </c>
    </row>
    <row r="14" spans="1:14" x14ac:dyDescent="0.2">
      <c r="A14" t="s">
        <v>114</v>
      </c>
      <c r="B14" s="1" t="s">
        <v>38</v>
      </c>
      <c r="C14" s="1" t="s">
        <v>39</v>
      </c>
      <c r="D14" s="1" t="s">
        <v>31</v>
      </c>
      <c r="E14" s="1">
        <v>7.53</v>
      </c>
      <c r="F14" s="1">
        <v>5.42</v>
      </c>
      <c r="G14" s="1">
        <v>30</v>
      </c>
      <c r="H14" s="1">
        <v>12</v>
      </c>
      <c r="I14">
        <f t="shared" si="0"/>
        <v>0.4</v>
      </c>
      <c r="J14">
        <f t="shared" si="1"/>
        <v>0.22</v>
      </c>
    </row>
    <row r="15" spans="1:14" x14ac:dyDescent="0.2">
      <c r="A15" t="s">
        <v>88</v>
      </c>
      <c r="B15" s="1" t="s">
        <v>40</v>
      </c>
      <c r="C15" s="1" t="s">
        <v>41</v>
      </c>
      <c r="D15" s="1" t="s">
        <v>31</v>
      </c>
      <c r="E15" s="1">
        <v>7.64</v>
      </c>
      <c r="F15" s="1">
        <v>4.8099999999999996</v>
      </c>
      <c r="G15" s="1">
        <v>27</v>
      </c>
      <c r="H15" s="1">
        <v>18</v>
      </c>
      <c r="I15">
        <f t="shared" si="0"/>
        <v>0.37</v>
      </c>
      <c r="J15">
        <f t="shared" si="1"/>
        <v>0.28000000000000003</v>
      </c>
    </row>
    <row r="16" spans="1:14" x14ac:dyDescent="0.2">
      <c r="A16" t="s">
        <v>89</v>
      </c>
      <c r="B16" s="1" t="s">
        <v>42</v>
      </c>
      <c r="C16" s="1" t="s">
        <v>43</v>
      </c>
      <c r="D16" s="1" t="s">
        <v>31</v>
      </c>
      <c r="E16" s="1">
        <v>7.19</v>
      </c>
      <c r="F16" s="1">
        <v>3.61</v>
      </c>
      <c r="G16" s="1">
        <v>27</v>
      </c>
      <c r="H16" s="1">
        <v>18</v>
      </c>
      <c r="I16">
        <f t="shared" si="0"/>
        <v>0.37</v>
      </c>
      <c r="J16">
        <f t="shared" si="1"/>
        <v>0.28000000000000003</v>
      </c>
    </row>
    <row r="17" spans="1:10" x14ac:dyDescent="0.2">
      <c r="A17" t="s">
        <v>90</v>
      </c>
      <c r="B17" s="1" t="s">
        <v>44</v>
      </c>
      <c r="C17" s="1" t="s">
        <v>45</v>
      </c>
      <c r="D17" s="1" t="s">
        <v>31</v>
      </c>
      <c r="E17" s="1">
        <v>7.47</v>
      </c>
      <c r="F17" s="1">
        <v>4.8099999999999996</v>
      </c>
      <c r="G17" s="1">
        <v>27</v>
      </c>
      <c r="H17" s="1">
        <v>18</v>
      </c>
      <c r="I17">
        <f t="shared" si="0"/>
        <v>0.37</v>
      </c>
      <c r="J17">
        <f t="shared" si="1"/>
        <v>0.28000000000000003</v>
      </c>
    </row>
    <row r="18" spans="1:10" x14ac:dyDescent="0.2">
      <c r="A18" t="s">
        <v>91</v>
      </c>
      <c r="B18" s="1" t="s">
        <v>46</v>
      </c>
      <c r="C18" s="1" t="s">
        <v>47</v>
      </c>
      <c r="D18" s="1" t="s">
        <v>31</v>
      </c>
      <c r="E18" s="1">
        <v>7.61</v>
      </c>
      <c r="F18" s="1">
        <v>3.86</v>
      </c>
      <c r="G18" s="1">
        <v>24</v>
      </c>
      <c r="H18" s="1">
        <v>18</v>
      </c>
      <c r="I18">
        <f t="shared" si="0"/>
        <v>0.34</v>
      </c>
      <c r="J18">
        <f t="shared" si="1"/>
        <v>0.28000000000000003</v>
      </c>
    </row>
    <row r="19" spans="1:10" x14ac:dyDescent="0.2">
      <c r="A19" t="s">
        <v>92</v>
      </c>
      <c r="B19" s="1" t="s">
        <v>48</v>
      </c>
      <c r="C19" s="1" t="s">
        <v>49</v>
      </c>
      <c r="D19" s="1" t="s">
        <v>50</v>
      </c>
      <c r="E19" s="1">
        <v>6.03</v>
      </c>
      <c r="F19" s="1">
        <v>3.95</v>
      </c>
      <c r="G19" s="1">
        <v>24</v>
      </c>
      <c r="H19" s="1">
        <v>18</v>
      </c>
      <c r="I19">
        <f t="shared" si="0"/>
        <v>0.34</v>
      </c>
      <c r="J19">
        <f t="shared" si="1"/>
        <v>0.28000000000000003</v>
      </c>
    </row>
    <row r="20" spans="1:10" x14ac:dyDescent="0.2">
      <c r="A20" t="s">
        <v>93</v>
      </c>
      <c r="B20" s="1" t="s">
        <v>51</v>
      </c>
      <c r="C20" s="1" t="s">
        <v>52</v>
      </c>
      <c r="D20" s="1" t="s">
        <v>50</v>
      </c>
      <c r="E20" s="1">
        <v>6.32</v>
      </c>
      <c r="F20" s="1">
        <v>3.8</v>
      </c>
      <c r="G20" s="1">
        <v>24</v>
      </c>
      <c r="H20" s="1">
        <v>15</v>
      </c>
      <c r="I20">
        <f t="shared" si="0"/>
        <v>0.34</v>
      </c>
      <c r="J20">
        <f t="shared" si="1"/>
        <v>0.25</v>
      </c>
    </row>
    <row r="21" spans="1:10" x14ac:dyDescent="0.2">
      <c r="A21" t="s">
        <v>94</v>
      </c>
      <c r="B21" s="1" t="s">
        <v>53</v>
      </c>
      <c r="C21" s="1" t="s">
        <v>54</v>
      </c>
      <c r="D21" s="1" t="s">
        <v>50</v>
      </c>
      <c r="E21" s="1">
        <v>7.36</v>
      </c>
      <c r="F21" s="1">
        <v>4.1399999999999997</v>
      </c>
      <c r="G21" s="1">
        <v>18</v>
      </c>
      <c r="H21" s="1">
        <v>9</v>
      </c>
      <c r="I21">
        <f t="shared" si="0"/>
        <v>0.28000000000000003</v>
      </c>
      <c r="J21">
        <f t="shared" si="1"/>
        <v>0.19</v>
      </c>
    </row>
    <row r="22" spans="1:10" x14ac:dyDescent="0.2">
      <c r="A22" t="s">
        <v>95</v>
      </c>
      <c r="B22" s="1" t="s">
        <v>55</v>
      </c>
      <c r="C22" s="1" t="s">
        <v>56</v>
      </c>
      <c r="D22" s="1" t="s">
        <v>50</v>
      </c>
      <c r="E22" s="1">
        <v>6.67</v>
      </c>
      <c r="F22" s="1">
        <v>3.57</v>
      </c>
      <c r="G22" s="1">
        <v>21</v>
      </c>
      <c r="H22" s="1">
        <v>9</v>
      </c>
      <c r="I22">
        <f t="shared" si="0"/>
        <v>0.31</v>
      </c>
      <c r="J22">
        <f t="shared" si="1"/>
        <v>0.19</v>
      </c>
    </row>
    <row r="23" spans="1:10" x14ac:dyDescent="0.2">
      <c r="A23" t="s">
        <v>96</v>
      </c>
      <c r="B23" s="1" t="s">
        <v>57</v>
      </c>
      <c r="C23" s="1" t="s">
        <v>58</v>
      </c>
      <c r="D23" s="1" t="s">
        <v>50</v>
      </c>
      <c r="E23" s="1">
        <v>7.86</v>
      </c>
      <c r="F23" s="1">
        <v>3.22</v>
      </c>
      <c r="G23" s="1">
        <v>21</v>
      </c>
      <c r="H23" s="1">
        <v>12</v>
      </c>
      <c r="I23">
        <f t="shared" si="0"/>
        <v>0.31</v>
      </c>
      <c r="J23">
        <f t="shared" si="1"/>
        <v>0.22</v>
      </c>
    </row>
    <row r="24" spans="1:10" x14ac:dyDescent="0.2">
      <c r="A24" t="s">
        <v>97</v>
      </c>
      <c r="B24" s="1" t="s">
        <v>59</v>
      </c>
      <c r="C24" s="1" t="s">
        <v>60</v>
      </c>
      <c r="D24" s="1" t="s">
        <v>50</v>
      </c>
      <c r="E24" s="1">
        <v>7.14</v>
      </c>
      <c r="F24" s="1">
        <v>3.61</v>
      </c>
      <c r="G24" s="1">
        <v>21</v>
      </c>
      <c r="H24" s="1">
        <v>12</v>
      </c>
      <c r="I24">
        <f t="shared" si="0"/>
        <v>0.31</v>
      </c>
      <c r="J24">
        <f t="shared" si="1"/>
        <v>0.22</v>
      </c>
    </row>
    <row r="25" spans="1:10" x14ac:dyDescent="0.2">
      <c r="A25" t="s">
        <v>98</v>
      </c>
      <c r="B25" s="1" t="s">
        <v>61</v>
      </c>
      <c r="C25" s="1" t="s">
        <v>62</v>
      </c>
      <c r="D25" s="1" t="s">
        <v>50</v>
      </c>
      <c r="E25" s="1">
        <v>7.18</v>
      </c>
      <c r="F25" s="1">
        <v>3.58</v>
      </c>
      <c r="G25" s="1">
        <v>21</v>
      </c>
      <c r="H25" s="1">
        <v>3</v>
      </c>
      <c r="I25">
        <f t="shared" si="0"/>
        <v>0.31</v>
      </c>
      <c r="J25">
        <f t="shared" si="1"/>
        <v>0.13</v>
      </c>
    </row>
    <row r="26" spans="1:10" x14ac:dyDescent="0.2">
      <c r="A26" t="s">
        <v>99</v>
      </c>
      <c r="B26" s="1" t="s">
        <v>63</v>
      </c>
      <c r="C26" s="1" t="s">
        <v>64</v>
      </c>
      <c r="D26" s="1" t="s">
        <v>50</v>
      </c>
      <c r="E26" s="1">
        <v>6.71</v>
      </c>
      <c r="F26" s="1">
        <v>2.88</v>
      </c>
      <c r="G26" s="1">
        <v>21</v>
      </c>
      <c r="H26" s="1">
        <v>12</v>
      </c>
      <c r="I26">
        <f t="shared" si="0"/>
        <v>0.31</v>
      </c>
      <c r="J26">
        <f t="shared" si="1"/>
        <v>0.22</v>
      </c>
    </row>
    <row r="27" spans="1:10" x14ac:dyDescent="0.2">
      <c r="A27" t="s">
        <v>100</v>
      </c>
      <c r="B27" s="1" t="s">
        <v>65</v>
      </c>
      <c r="C27" s="1" t="s">
        <v>66</v>
      </c>
      <c r="D27" s="1" t="s">
        <v>50</v>
      </c>
      <c r="E27" s="1">
        <v>6.5</v>
      </c>
      <c r="F27" s="1">
        <v>3.13</v>
      </c>
      <c r="G27" s="1">
        <v>18</v>
      </c>
      <c r="H27" s="1">
        <v>12</v>
      </c>
      <c r="I27">
        <f t="shared" si="0"/>
        <v>0.28000000000000003</v>
      </c>
      <c r="J27">
        <f t="shared" si="1"/>
        <v>0.22</v>
      </c>
    </row>
    <row r="28" spans="1:10" x14ac:dyDescent="0.2">
      <c r="A28" t="s">
        <v>101</v>
      </c>
      <c r="B28" s="1" t="s">
        <v>67</v>
      </c>
      <c r="C28" s="1" t="s">
        <v>68</v>
      </c>
      <c r="D28" s="1" t="s">
        <v>50</v>
      </c>
      <c r="E28" s="1">
        <v>7</v>
      </c>
      <c r="F28" s="1">
        <v>3.02</v>
      </c>
      <c r="G28" s="1">
        <v>18</v>
      </c>
      <c r="H28" s="1">
        <v>12</v>
      </c>
      <c r="I28">
        <f t="shared" si="0"/>
        <v>0.28000000000000003</v>
      </c>
      <c r="J28">
        <f t="shared" si="1"/>
        <v>0.22</v>
      </c>
    </row>
    <row r="29" spans="1:10" x14ac:dyDescent="0.2">
      <c r="A29" t="s">
        <v>102</v>
      </c>
      <c r="B29" s="1" t="s">
        <v>69</v>
      </c>
      <c r="C29" s="1" t="s">
        <v>70</v>
      </c>
      <c r="D29" s="1" t="s">
        <v>50</v>
      </c>
      <c r="E29" s="1">
        <v>6.24</v>
      </c>
      <c r="F29" s="1">
        <v>2.81</v>
      </c>
      <c r="G29" s="1">
        <v>18</v>
      </c>
      <c r="H29" s="1">
        <v>12</v>
      </c>
      <c r="I29">
        <f t="shared" si="0"/>
        <v>0.28000000000000003</v>
      </c>
      <c r="J29">
        <f t="shared" si="1"/>
        <v>0.22</v>
      </c>
    </row>
    <row r="30" spans="1:10" x14ac:dyDescent="0.2">
      <c r="A30" t="s">
        <v>103</v>
      </c>
      <c r="B30" s="1" t="s">
        <v>71</v>
      </c>
      <c r="C30" s="1" t="s">
        <v>72</v>
      </c>
      <c r="D30" s="1" t="s">
        <v>73</v>
      </c>
      <c r="E30" s="1">
        <v>6.58</v>
      </c>
      <c r="F30" s="1">
        <v>2.67</v>
      </c>
      <c r="G30" s="1">
        <v>15</v>
      </c>
      <c r="H30" s="1">
        <v>3</v>
      </c>
      <c r="I30">
        <f t="shared" si="0"/>
        <v>0.25</v>
      </c>
      <c r="J30">
        <f t="shared" si="1"/>
        <v>0.13</v>
      </c>
    </row>
    <row r="31" spans="1:10" x14ac:dyDescent="0.2">
      <c r="A31" t="s">
        <v>104</v>
      </c>
      <c r="B31" s="1" t="s">
        <v>74</v>
      </c>
      <c r="C31" s="1" t="s">
        <v>75</v>
      </c>
      <c r="D31" s="1" t="s">
        <v>73</v>
      </c>
      <c r="E31" s="1">
        <v>6.17</v>
      </c>
      <c r="F31" s="1">
        <v>2.67</v>
      </c>
      <c r="G31" s="1">
        <v>15</v>
      </c>
      <c r="H31" s="1">
        <v>3</v>
      </c>
      <c r="I31">
        <f t="shared" si="0"/>
        <v>0.25</v>
      </c>
      <c r="J31">
        <f t="shared" si="1"/>
        <v>0.13</v>
      </c>
    </row>
    <row r="34" spans="1:6" x14ac:dyDescent="0.2">
      <c r="A34" s="25"/>
    </row>
    <row r="35" spans="1:6" x14ac:dyDescent="0.2">
      <c r="A35" s="25"/>
    </row>
    <row r="36" spans="1:6" x14ac:dyDescent="0.2">
      <c r="A36" s="25"/>
    </row>
    <row r="37" spans="1:6" x14ac:dyDescent="0.2">
      <c r="A37" s="25"/>
    </row>
    <row r="38" spans="1:6" x14ac:dyDescent="0.2">
      <c r="A38" s="25"/>
    </row>
    <row r="39" spans="1:6" x14ac:dyDescent="0.2">
      <c r="A39" s="25"/>
    </row>
    <row r="40" spans="1:6" x14ac:dyDescent="0.2">
      <c r="A40" s="25"/>
    </row>
    <row r="42" spans="1:6" x14ac:dyDescent="0.2">
      <c r="F42" s="28"/>
    </row>
    <row r="43" spans="1:6" x14ac:dyDescent="0.2">
      <c r="F43"/>
    </row>
    <row r="44" spans="1:6" x14ac:dyDescent="0.2">
      <c r="F44" s="28"/>
    </row>
    <row r="45" spans="1:6" x14ac:dyDescent="0.2">
      <c r="F45"/>
    </row>
    <row r="46" spans="1:6" x14ac:dyDescent="0.2">
      <c r="F46" s="28"/>
    </row>
    <row r="47" spans="1:6" x14ac:dyDescent="0.2">
      <c r="F47"/>
    </row>
    <row r="48" spans="1:6" x14ac:dyDescent="0.2">
      <c r="F48" s="25"/>
    </row>
    <row r="49" spans="6:16" x14ac:dyDescent="0.2">
      <c r="F49"/>
    </row>
    <row r="53" spans="6:16" x14ac:dyDescent="0.2">
      <c r="F53"/>
      <c r="G53"/>
      <c r="H53"/>
    </row>
    <row r="54" spans="6:16" x14ac:dyDescent="0.2"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</row>
    <row r="55" spans="6:16" x14ac:dyDescent="0.2">
      <c r="F55"/>
      <c r="G55"/>
      <c r="H55"/>
    </row>
    <row r="56" spans="6:16" x14ac:dyDescent="0.2"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</row>
    <row r="57" spans="6:16" x14ac:dyDescent="0.2">
      <c r="F57"/>
    </row>
    <row r="65" spans="6:6" x14ac:dyDescent="0.2">
      <c r="F65"/>
    </row>
    <row r="73" spans="6:6" x14ac:dyDescent="0.2">
      <c r="F73"/>
    </row>
    <row r="81" spans="6:13" x14ac:dyDescent="0.2">
      <c r="F81"/>
      <c r="M81" s="1"/>
    </row>
    <row r="89" spans="6:13" x14ac:dyDescent="0.2">
      <c r="F89"/>
    </row>
    <row r="97" spans="6:6" x14ac:dyDescent="0.2">
      <c r="F97"/>
    </row>
    <row r="105" spans="6:6" x14ac:dyDescent="0.2">
      <c r="F105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9" sqref="F29"/>
    </sheetView>
  </sheetViews>
  <sheetFormatPr defaultRowHeight="11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rkg</dc:creator>
  <cp:lastModifiedBy>Ledwich, Martin</cp:lastModifiedBy>
  <dcterms:created xsi:type="dcterms:W3CDTF">2007-01-18T03:01:39Z</dcterms:created>
  <dcterms:modified xsi:type="dcterms:W3CDTF">2014-08-12T02:16:26Z</dcterms:modified>
</cp:coreProperties>
</file>